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\Для Шейна\Общий счёт\"/>
    </mc:Choice>
  </mc:AlternateContent>
  <bookViews>
    <workbookView xWindow="0" yWindow="0" windowWidth="28800" windowHeight="12435" tabRatio="581" activeTab="1"/>
  </bookViews>
  <sheets>
    <sheet name="энергообследование" sheetId="2" r:id="rId1"/>
    <sheet name="2015" sheetId="1" r:id="rId2"/>
  </sheets>
  <definedNames>
    <definedName name="__xlnm._FilterDatabase" localSheetId="1">'2015'!$A$13:$Z$292</definedName>
    <definedName name="__xlnm._FilterDatabase" localSheetId="0">энергообследование!$A$6:$U$182</definedName>
    <definedName name="__xlnm._FilterDatabase_1">#REF!</definedName>
    <definedName name="__xlnm._FilterDatabase_1_1" localSheetId="0">энергообследование!$A$6:$U$182</definedName>
    <definedName name="__xlnm._FilterDatabase_1_1">'2015'!$A$13:$Z$292</definedName>
    <definedName name="__xlnm._FilterDatabase_2">#REF!</definedName>
    <definedName name="__xlnm.Print_Area" localSheetId="1">'2015'!$A$8:$Y$292</definedName>
    <definedName name="__xlnm.Print_Area" localSheetId="0">энергообследование!$A$1:$T$182</definedName>
    <definedName name="__xlnm.Print_Titles" localSheetId="1">'2015'!$9:$13</definedName>
    <definedName name="__xlnm.Print_Titles" localSheetId="0">энергообследование!$2:$6</definedName>
    <definedName name="_xlnm._FilterDatabase" localSheetId="1" hidden="1">'2015'!$A$13:$Z$292</definedName>
    <definedName name="_xlnm._FilterDatabase" localSheetId="0" hidden="1">энергообследование!$A$6:$U$182</definedName>
    <definedName name="Excel_BuiltIn_Print_Area" localSheetId="1">'2015'!$A$8:$V$292</definedName>
    <definedName name="Excel_BuiltIn_Print_Area" localSheetId="0">энергообследование!$A$1:$U$189</definedName>
    <definedName name="_xlnm.Print_Titles" localSheetId="1">'2015'!$9:$13</definedName>
    <definedName name="_xlnm.Print_Titles" localSheetId="0">энергообследование!$2:$6</definedName>
    <definedName name="_xlnm.Print_Area" localSheetId="1">'2015'!$A$1:$Z$292</definedName>
    <definedName name="_xlnm.Print_Area" localSheetId="0">энергообследование!$A$1:$P$183</definedName>
  </definedNames>
  <calcPr calcId="152511"/>
</workbook>
</file>

<file path=xl/calcChain.xml><?xml version="1.0" encoding="utf-8"?>
<calcChain xmlns="http://schemas.openxmlformats.org/spreadsheetml/2006/main">
  <c r="L15" i="1" l="1"/>
  <c r="N15" i="1"/>
  <c r="N123" i="1" s="1"/>
  <c r="N210" i="1"/>
  <c r="N203" i="1"/>
  <c r="N164" i="1"/>
  <c r="P164" i="1" s="1"/>
  <c r="Q81" i="1"/>
  <c r="K175" i="1"/>
  <c r="K185" i="1"/>
  <c r="K164" i="1"/>
  <c r="N157" i="1"/>
  <c r="P155" i="1"/>
  <c r="K125" i="1"/>
  <c r="N125" i="1"/>
  <c r="Y125" i="1"/>
  <c r="L119" i="1"/>
  <c r="L112" i="1"/>
  <c r="L99" i="1"/>
  <c r="L81" i="1"/>
  <c r="L74" i="1"/>
  <c r="L66" i="1"/>
  <c r="L58" i="1"/>
  <c r="L49" i="1"/>
  <c r="L39" i="1"/>
  <c r="L30" i="1"/>
  <c r="L26" i="1"/>
  <c r="L22" i="1"/>
  <c r="N58" i="1"/>
  <c r="N39" i="1"/>
  <c r="O123" i="1"/>
  <c r="N185" i="1"/>
  <c r="N81" i="1"/>
  <c r="J35" i="1"/>
  <c r="L34" i="1"/>
  <c r="Y194" i="1"/>
  <c r="Y210" i="1"/>
  <c r="K26" i="1"/>
  <c r="Y242" i="1"/>
  <c r="N216" i="1"/>
  <c r="N144" i="1"/>
  <c r="J286" i="1"/>
  <c r="M286" i="1"/>
  <c r="M284" i="1"/>
  <c r="M283" i="1"/>
  <c r="N283" i="1" s="1"/>
  <c r="J284" i="1"/>
  <c r="K283" i="1" s="1"/>
  <c r="Q283" i="1" s="1"/>
  <c r="J283" i="1"/>
  <c r="J277" i="1"/>
  <c r="K277" i="1" s="1"/>
  <c r="M277" i="1"/>
  <c r="J269" i="1"/>
  <c r="J268" i="1"/>
  <c r="K267" i="1" s="1"/>
  <c r="K291" i="1" s="1"/>
  <c r="J267" i="1"/>
  <c r="J247" i="1"/>
  <c r="J246" i="1"/>
  <c r="J244" i="1"/>
  <c r="K242" i="1" s="1"/>
  <c r="J233" i="1"/>
  <c r="K229" i="1" s="1"/>
  <c r="K222" i="1"/>
  <c r="K216" i="1"/>
  <c r="Q216" i="1"/>
  <c r="J212" i="1"/>
  <c r="K210" i="1"/>
  <c r="Q210" i="1" s="1"/>
  <c r="Y203" i="1"/>
  <c r="J206" i="1"/>
  <c r="K203" i="1"/>
  <c r="J196" i="1"/>
  <c r="J195" i="1"/>
  <c r="K194" i="1" s="1"/>
  <c r="Y164" i="1"/>
  <c r="N139" i="1"/>
  <c r="N155" i="1" s="1"/>
  <c r="N49" i="1"/>
  <c r="Y144" i="1"/>
  <c r="K144" i="1"/>
  <c r="K139" i="1"/>
  <c r="L139" i="1" s="1"/>
  <c r="K119" i="1"/>
  <c r="N108" i="1"/>
  <c r="P108" i="1" s="1"/>
  <c r="J110" i="1"/>
  <c r="L108" i="1" s="1"/>
  <c r="J105" i="1"/>
  <c r="L104" i="1" s="1"/>
  <c r="K99" i="1"/>
  <c r="K81" i="1"/>
  <c r="K66" i="1"/>
  <c r="K58" i="1"/>
  <c r="Q58" i="1"/>
  <c r="K49" i="1"/>
  <c r="Q49" i="1"/>
  <c r="K39" i="1"/>
  <c r="Q39" i="1"/>
  <c r="M269" i="1"/>
  <c r="M268" i="1"/>
  <c r="M267" i="1"/>
  <c r="N267" i="1"/>
  <c r="N291" i="1" s="1"/>
  <c r="N261" i="1"/>
  <c r="K261" i="1"/>
  <c r="N253" i="1"/>
  <c r="K253" i="1"/>
  <c r="N257" i="1"/>
  <c r="K257" i="1"/>
  <c r="M247" i="1"/>
  <c r="M246" i="1"/>
  <c r="M244" i="1"/>
  <c r="N242" i="1" s="1"/>
  <c r="M233" i="1"/>
  <c r="M223" i="1"/>
  <c r="N222" i="1" s="1"/>
  <c r="M196" i="1"/>
  <c r="M195" i="1"/>
  <c r="M178" i="1"/>
  <c r="N175" i="1" s="1"/>
  <c r="M175" i="1"/>
  <c r="M265" i="1" s="1"/>
  <c r="M292" i="1" s="1"/>
  <c r="M177" i="1"/>
  <c r="J159" i="1"/>
  <c r="N151" i="1"/>
  <c r="K151" i="1"/>
  <c r="N104" i="1"/>
  <c r="M91" i="1"/>
  <c r="M123" i="1" s="1"/>
  <c r="K15" i="1"/>
  <c r="N112" i="1"/>
  <c r="Q112" i="1"/>
  <c r="K112" i="1"/>
  <c r="N74" i="1"/>
  <c r="K74" i="1"/>
  <c r="Q74" i="1"/>
  <c r="N34" i="1"/>
  <c r="K30" i="1"/>
  <c r="Q30" i="1" s="1"/>
  <c r="N30" i="1"/>
  <c r="K22" i="1"/>
  <c r="Q22" i="1"/>
  <c r="N26" i="1"/>
  <c r="N22" i="1"/>
  <c r="N99" i="1"/>
  <c r="N119" i="1"/>
  <c r="Y34" i="1"/>
  <c r="H181" i="2"/>
  <c r="G181" i="2"/>
  <c r="J176" i="2"/>
  <c r="K174" i="2" s="1"/>
  <c r="M174" i="2" s="1"/>
  <c r="T174" i="2"/>
  <c r="L174" i="2"/>
  <c r="L181" i="2" s="1"/>
  <c r="T170" i="2"/>
  <c r="L170" i="2"/>
  <c r="J170" i="2"/>
  <c r="K170" i="2"/>
  <c r="M170" i="2" s="1"/>
  <c r="J165" i="2"/>
  <c r="K163" i="2" s="1"/>
  <c r="T163" i="2"/>
  <c r="T181" i="2"/>
  <c r="L163" i="2"/>
  <c r="H161" i="2"/>
  <c r="G161" i="2"/>
  <c r="T159" i="2"/>
  <c r="L159" i="2"/>
  <c r="J159" i="2"/>
  <c r="K159" i="2" s="1"/>
  <c r="M159" i="2" s="1"/>
  <c r="T157" i="2"/>
  <c r="L157" i="2"/>
  <c r="J157" i="2"/>
  <c r="K157" i="2"/>
  <c r="M157" i="2" s="1"/>
  <c r="T155" i="2"/>
  <c r="L155" i="2"/>
  <c r="J155" i="2"/>
  <c r="K155" i="2" s="1"/>
  <c r="M155" i="2" s="1"/>
  <c r="J153" i="2"/>
  <c r="K147" i="2"/>
  <c r="M147" i="2" s="1"/>
  <c r="T147" i="2"/>
  <c r="L147" i="2"/>
  <c r="J145" i="2"/>
  <c r="K139" i="2" s="1"/>
  <c r="M139" i="2" s="1"/>
  <c r="T139" i="2"/>
  <c r="L139" i="2"/>
  <c r="J137" i="2"/>
  <c r="T135" i="2"/>
  <c r="L135" i="2"/>
  <c r="K135" i="2"/>
  <c r="M135" i="2" s="1"/>
  <c r="T132" i="2"/>
  <c r="L132" i="2"/>
  <c r="J132" i="2"/>
  <c r="K132" i="2" s="1"/>
  <c r="M132" i="2" s="1"/>
  <c r="T129" i="2"/>
  <c r="L129" i="2"/>
  <c r="K129" i="2"/>
  <c r="M129" i="2"/>
  <c r="J127" i="2"/>
  <c r="K125" i="2"/>
  <c r="M125" i="2" s="1"/>
  <c r="T125" i="2"/>
  <c r="L125" i="2"/>
  <c r="J120" i="2"/>
  <c r="K119" i="2" s="1"/>
  <c r="M119" i="2" s="1"/>
  <c r="T119" i="2"/>
  <c r="L119" i="2"/>
  <c r="J114" i="2"/>
  <c r="T113" i="2"/>
  <c r="L113" i="2"/>
  <c r="K113" i="2"/>
  <c r="M113" i="2" s="1"/>
  <c r="J110" i="2"/>
  <c r="K106" i="2" s="1"/>
  <c r="T106" i="2"/>
  <c r="L106" i="2"/>
  <c r="J102" i="2"/>
  <c r="K100" i="2"/>
  <c r="M100" i="2" s="1"/>
  <c r="T100" i="2"/>
  <c r="L100" i="2"/>
  <c r="J97" i="2"/>
  <c r="J161" i="2"/>
  <c r="T95" i="2"/>
  <c r="T161" i="2" s="1"/>
  <c r="L95" i="2"/>
  <c r="L161" i="2" s="1"/>
  <c r="H93" i="2"/>
  <c r="T90" i="2"/>
  <c r="L90" i="2"/>
  <c r="J90" i="2"/>
  <c r="K90" i="2"/>
  <c r="M90" i="2" s="1"/>
  <c r="J88" i="2"/>
  <c r="K86" i="2" s="1"/>
  <c r="M86" i="2" s="1"/>
  <c r="T86" i="2"/>
  <c r="L86" i="2"/>
  <c r="J84" i="2"/>
  <c r="K83" i="2"/>
  <c r="M83" i="2" s="1"/>
  <c r="T83" i="2"/>
  <c r="L83" i="2"/>
  <c r="J80" i="2"/>
  <c r="K79" i="2" s="1"/>
  <c r="M79" i="2" s="1"/>
  <c r="T79" i="2"/>
  <c r="L79" i="2"/>
  <c r="J77" i="2"/>
  <c r="J93" i="2" s="1"/>
  <c r="T76" i="2"/>
  <c r="T93" i="2" s="1"/>
  <c r="L76" i="2"/>
  <c r="L93" i="2" s="1"/>
  <c r="H74" i="2"/>
  <c r="G74" i="2"/>
  <c r="T69" i="2"/>
  <c r="K69" i="2"/>
  <c r="M69" i="2" s="1"/>
  <c r="T66" i="2"/>
  <c r="L66" i="2"/>
  <c r="J66" i="2"/>
  <c r="K66" i="2" s="1"/>
  <c r="M66" i="2" s="1"/>
  <c r="J64" i="2"/>
  <c r="K62" i="2"/>
  <c r="M62" i="2" s="1"/>
  <c r="T62" i="2"/>
  <c r="L62" i="2"/>
  <c r="J60" i="2"/>
  <c r="K59" i="2" s="1"/>
  <c r="M59" i="2" s="1"/>
  <c r="T59" i="2"/>
  <c r="L59" i="2"/>
  <c r="T57" i="2"/>
  <c r="K57" i="2"/>
  <c r="M57" i="2" s="1"/>
  <c r="T55" i="2"/>
  <c r="K55" i="2"/>
  <c r="M55" i="2" s="1"/>
  <c r="T51" i="2"/>
  <c r="L51" i="2"/>
  <c r="J51" i="2"/>
  <c r="K51" i="2"/>
  <c r="M51" i="2" s="1"/>
  <c r="J47" i="2"/>
  <c r="K45" i="2" s="1"/>
  <c r="M45" i="2" s="1"/>
  <c r="T45" i="2"/>
  <c r="L45" i="2"/>
  <c r="J42" i="2"/>
  <c r="T40" i="2"/>
  <c r="L40" i="2"/>
  <c r="K40" i="2"/>
  <c r="M40" i="2" s="1"/>
  <c r="T36" i="2"/>
  <c r="L36" i="2"/>
  <c r="J36" i="2"/>
  <c r="K36" i="2" s="1"/>
  <c r="M36" i="2" s="1"/>
  <c r="T32" i="2"/>
  <c r="L32" i="2"/>
  <c r="J32" i="2"/>
  <c r="K32" i="2"/>
  <c r="M32" i="2" s="1"/>
  <c r="J30" i="2"/>
  <c r="K27" i="2" s="1"/>
  <c r="M27" i="2" s="1"/>
  <c r="T27" i="2"/>
  <c r="L27" i="2"/>
  <c r="J26" i="2"/>
  <c r="J23" i="2"/>
  <c r="K22" i="2" s="1"/>
  <c r="M22" i="2" s="1"/>
  <c r="T22" i="2"/>
  <c r="L22" i="2"/>
  <c r="T19" i="2"/>
  <c r="L19" i="2"/>
  <c r="J19" i="2"/>
  <c r="K19" i="2"/>
  <c r="M19" i="2" s="1"/>
  <c r="T17" i="2"/>
  <c r="L17" i="2"/>
  <c r="J17" i="2"/>
  <c r="K17" i="2" s="1"/>
  <c r="M17" i="2" s="1"/>
  <c r="T15" i="2"/>
  <c r="L15" i="2"/>
  <c r="J15" i="2"/>
  <c r="K15" i="2"/>
  <c r="M15" i="2" s="1"/>
  <c r="T13" i="2"/>
  <c r="J13" i="2"/>
  <c r="K13" i="2" s="1"/>
  <c r="J10" i="2"/>
  <c r="T8" i="2"/>
  <c r="T74" i="2" s="1"/>
  <c r="L8" i="2"/>
  <c r="K8" i="2"/>
  <c r="Y22" i="1"/>
  <c r="Y30" i="1"/>
  <c r="Y39" i="1"/>
  <c r="Y49" i="1"/>
  <c r="Y74" i="1"/>
  <c r="Y81" i="1"/>
  <c r="Y104" i="1"/>
  <c r="Y108" i="1"/>
  <c r="Y112" i="1"/>
  <c r="Y119" i="1"/>
  <c r="G123" i="1"/>
  <c r="H123" i="1"/>
  <c r="L132" i="1"/>
  <c r="L155" i="1" s="1"/>
  <c r="Y132" i="1"/>
  <c r="L151" i="1"/>
  <c r="Y151" i="1"/>
  <c r="Y155" i="1" s="1"/>
  <c r="H155" i="1"/>
  <c r="L157" i="1"/>
  <c r="L265" i="1" s="1"/>
  <c r="Y157" i="1"/>
  <c r="Y265" i="1" s="1"/>
  <c r="L164" i="1"/>
  <c r="L175" i="1"/>
  <c r="Y175" i="1"/>
  <c r="L185" i="1"/>
  <c r="Y185" i="1"/>
  <c r="L194" i="1"/>
  <c r="L203" i="1"/>
  <c r="L210" i="1"/>
  <c r="L216" i="1"/>
  <c r="Y216" i="1"/>
  <c r="L222" i="1"/>
  <c r="Y222" i="1"/>
  <c r="L229" i="1"/>
  <c r="L242" i="1"/>
  <c r="L253" i="1"/>
  <c r="Y253" i="1"/>
  <c r="L257" i="1"/>
  <c r="Y257" i="1"/>
  <c r="L261" i="1"/>
  <c r="Y261" i="1"/>
  <c r="G265" i="1"/>
  <c r="H265" i="1"/>
  <c r="L267" i="1"/>
  <c r="L291" i="1" s="1"/>
  <c r="L283" i="1"/>
  <c r="G291" i="1"/>
  <c r="H291" i="1"/>
  <c r="K95" i="2"/>
  <c r="M95" i="2"/>
  <c r="M155" i="1"/>
  <c r="J155" i="1"/>
  <c r="Q292" i="1"/>
  <c r="K34" i="1"/>
  <c r="Q34" i="1"/>
  <c r="N194" i="1"/>
  <c r="N91" i="1"/>
  <c r="Q91" i="1" s="1"/>
  <c r="K108" i="1"/>
  <c r="Y123" i="1"/>
  <c r="J123" i="1"/>
  <c r="K157" i="1"/>
  <c r="P15" i="1"/>
  <c r="P123" i="1" s="1"/>
  <c r="J291" i="1"/>
  <c r="Q157" i="1"/>
  <c r="M163" i="2" l="1"/>
  <c r="M181" i="2" s="1"/>
  <c r="K181" i="2"/>
  <c r="L13" i="2"/>
  <c r="K74" i="2"/>
  <c r="M13" i="2"/>
  <c r="M161" i="2"/>
  <c r="K161" i="2"/>
  <c r="M106" i="2"/>
  <c r="K265" i="1"/>
  <c r="Q194" i="1"/>
  <c r="N265" i="1"/>
  <c r="L74" i="2"/>
  <c r="L182" i="2" s="1"/>
  <c r="L292" i="1"/>
  <c r="L123" i="1"/>
  <c r="M8" i="2"/>
  <c r="M74" i="2" s="1"/>
  <c r="K104" i="1"/>
  <c r="K123" i="1" s="1"/>
  <c r="K292" i="1" s="1"/>
  <c r="J181" i="2"/>
  <c r="K76" i="2"/>
  <c r="J265" i="1"/>
  <c r="J292" i="1" s="1"/>
  <c r="K155" i="1"/>
  <c r="J74" i="2"/>
  <c r="K93" i="2" l="1"/>
  <c r="M76" i="2"/>
  <c r="M93" i="2" s="1"/>
  <c r="M182" i="2" s="1"/>
  <c r="K182" i="2"/>
  <c r="J182" i="2"/>
</calcChain>
</file>

<file path=xl/sharedStrings.xml><?xml version="1.0" encoding="utf-8"?>
<sst xmlns="http://schemas.openxmlformats.org/spreadsheetml/2006/main" count="1171" uniqueCount="297">
  <si>
    <t>№ п/п</t>
  </si>
  <si>
    <t>Адрес МКД</t>
  </si>
  <si>
    <t>Год ввода в эксплуатацию</t>
  </si>
  <si>
    <t xml:space="preserve">Наименование управляющей компании, ТСЖ ( с указанием № телефона председателя, руководителя) </t>
  </si>
  <si>
    <t>Количество этажей</t>
  </si>
  <si>
    <t>Количество подъездов</t>
  </si>
  <si>
    <t>общая площадь МКД, всего</t>
  </si>
  <si>
    <t>Количество жителей, зарегистрированных в МКД на дату утверждения Программы</t>
  </si>
  <si>
    <t>Виды работ</t>
  </si>
  <si>
    <t>Стоимость капитального ремонта по краткосрочному плану</t>
  </si>
  <si>
    <t>Объем средств по
заключенным договорам</t>
  </si>
  <si>
    <t xml:space="preserve">Остаток денежных средсв, по которым еще не заключены договора
</t>
  </si>
  <si>
    <t>Наименования подрядной организации *</t>
  </si>
  <si>
    <t>Дата начало проведения ремонта</t>
  </si>
  <si>
    <t>Дата окончания проведения ремонта</t>
  </si>
  <si>
    <t>Ответственное должностное лицо, осуществляющее согласование актов приемки работ</t>
  </si>
  <si>
    <t>Процент выполнения</t>
  </si>
  <si>
    <t>Примечание</t>
  </si>
  <si>
    <t>в разрезе по видам работ</t>
  </si>
  <si>
    <t>ВСЕГО</t>
  </si>
  <si>
    <t>по видам</t>
  </si>
  <si>
    <t>итого</t>
  </si>
  <si>
    <t>кв.м</t>
  </si>
  <si>
    <t>чел.</t>
  </si>
  <si>
    <t>руб.</t>
  </si>
  <si>
    <t>Муниципальное образование "Город Астрахань"</t>
  </si>
  <si>
    <t xml:space="preserve">                                          </t>
  </si>
  <si>
    <t>ул. 11-ой Красной Армии д. 1</t>
  </si>
  <si>
    <t>Кособокова Римма  Васильевна 89371393654</t>
  </si>
  <si>
    <t>Ремонт сетей водоснабжения</t>
  </si>
  <si>
    <t>ООО «Мастер Групп» договор №5-СМР от 26.09.2014</t>
  </si>
  <si>
    <t>Члены комиссии  Кособокова Римма Васильевна</t>
  </si>
  <si>
    <t xml:space="preserve"> </t>
  </si>
  <si>
    <t>Ремонт горячего водоснабжения</t>
  </si>
  <si>
    <t>ООО «Союз»  договор №89-СМР от 18.12.2014</t>
  </si>
  <si>
    <t>Ремонт крыши</t>
  </si>
  <si>
    <t>ООО «Мастер Групп» договор №6-СМР от 26.09.2014</t>
  </si>
  <si>
    <t>Ремонт  систем теплоснабжения</t>
  </si>
  <si>
    <t>Дополнительное соглашение имеется</t>
  </si>
  <si>
    <t>Изготовление энергетического паспорта</t>
  </si>
  <si>
    <t>ГБУ АО «Дирекция энергосбережения и ЖКХ» договор №  01-ЭП от 06.04.2015</t>
  </si>
  <si>
    <t>ул. Тургенева, 8 литер "Б"</t>
  </si>
  <si>
    <t>Глазова С.Е. 52-25-57</t>
  </si>
  <si>
    <t>Ремонт фасада</t>
  </si>
  <si>
    <t>ООО «Неатон-Строй» договор №83-СМР от 24.11.2014</t>
  </si>
  <si>
    <t>Члены комиссии Глазова С.Е.</t>
  </si>
  <si>
    <t>ул. Жилая, д. 5</t>
  </si>
  <si>
    <t>Ильина Ольга Валентиновна</t>
  </si>
  <si>
    <t>Ремонт или замена лифтового оборудования</t>
  </si>
  <si>
    <t>ОАО «Качаровский механический завод» договор №91-СМР от 12.12..2014</t>
  </si>
  <si>
    <t>Члены комиссии Ильина О.В.</t>
  </si>
  <si>
    <t>ул. Краснодарская д. 43 литер А</t>
  </si>
  <si>
    <t>Лепская Нина Михайловна  344891</t>
  </si>
  <si>
    <t>ОАО «Качаровский механический завод» договор №78-СМР от 24.11.2014</t>
  </si>
  <si>
    <t>Члены комиссии  Лепская Н.М.</t>
  </si>
  <si>
    <t>ул. Полякова д. 19</t>
  </si>
  <si>
    <t>Измайлова Наталья Александровна 89272817647</t>
  </si>
  <si>
    <t>Ремонт  систем электроснабжения</t>
  </si>
  <si>
    <t>ООО «Развитие Плюс» договор №70-СМР от 13.11.2014</t>
  </si>
  <si>
    <t>Члены комиссии Измайлова Н.А.</t>
  </si>
  <si>
    <t>Доп. Работы ремонт  фасада</t>
  </si>
  <si>
    <t>ООО «Технострой» договор № 10-СМР от 06.04.2015</t>
  </si>
  <si>
    <t>ул. Б. Алексеева д. 14</t>
  </si>
  <si>
    <t>Семиков Владимир Григорьевич 89086169228</t>
  </si>
  <si>
    <t>Ремонт  систем водоотведения</t>
  </si>
  <si>
    <t>ООО «Развитие Плюс» договор №71-СМР от 13.11.2014</t>
  </si>
  <si>
    <t>Члены комиссии Семиков В.Г.</t>
  </si>
  <si>
    <t>Установка ПУ (ХВС,электро, тепло)</t>
  </si>
  <si>
    <t xml:space="preserve">Доп. Работы ремонт  фасада </t>
  </si>
  <si>
    <t>ООО «Технострой» договор № 09-СМР от 06.04.2015</t>
  </si>
  <si>
    <t>Яблочкова д. 29</t>
  </si>
  <si>
    <t>Кулагина Юлия Валерьевна 89275550701</t>
  </si>
  <si>
    <t>ООО «Мастер Групп» договор № 46-СМР от 09.10.14</t>
  </si>
  <si>
    <t>Члены комиссии Кулагина Ю.В.</t>
  </si>
  <si>
    <t>ул. Барсовой д. 2</t>
  </si>
  <si>
    <t>Евдошенко Юрий Иванович 89608584801</t>
  </si>
  <si>
    <t>ООО «Союз» договор №76-СМР от 14.11.2014</t>
  </si>
  <si>
    <t>Члены комиссии Евдошенко Ю.И.</t>
  </si>
  <si>
    <t>ОАО «Качаровский механический завод» договор №77-СМР от 24.11.2014</t>
  </si>
  <si>
    <t>ул. Рылеева д. 82</t>
  </si>
  <si>
    <t>ООО «Союз» договор №75-СМР от 14.11.2014</t>
  </si>
  <si>
    <t>ОАО «Качаровский механический завод» договор №79-СМР от 24.11.2014</t>
  </si>
  <si>
    <t>Победы д. 56 литер А</t>
  </si>
  <si>
    <t>Мамонтова Людмила Николаевна</t>
  </si>
  <si>
    <t>ООО «Развитие Плюс» договор №69-СМР от 13.11.2014</t>
  </si>
  <si>
    <t>Члены комиссии Мамонтова Л.Н.</t>
  </si>
  <si>
    <t>ООО «Развитие Плюс» дополнительное соглашение №1 от 24.12.2014</t>
  </si>
  <si>
    <t>ул. Савушкина, 33 корп. 2</t>
  </si>
  <si>
    <t>Семенова Татьяна Петровна</t>
  </si>
  <si>
    <t>ООО «Омега» договор №48-СМР от 17.10.2014</t>
  </si>
  <si>
    <t>Члены комиссии Семенова Т.П.</t>
  </si>
  <si>
    <t>ООО «Омега» договор №59-СМР от 29.10.2014</t>
  </si>
  <si>
    <t>Доп. Работы ремонт фасада и ремонт систем электроснабжения</t>
  </si>
  <si>
    <t>ООО «Омега» договор №01-СМР от 06.04.2015</t>
  </si>
  <si>
    <t>ул. В. Барсовой д. 12 корп. 2 литер А</t>
  </si>
  <si>
    <t xml:space="preserve">Пичугина Валентина Николаевна </t>
  </si>
  <si>
    <t>ООО «Союз»  договор №85-СМР от 15.12.2014</t>
  </si>
  <si>
    <t>Члены комиссии Пичугина В.Н.</t>
  </si>
  <si>
    <t>ОАО «Качаровский механический завод» договор №90-СМР от 12.12..2014</t>
  </si>
  <si>
    <t>Ремонт лифтовой шахты</t>
  </si>
  <si>
    <t>ООО «Мастер Групп» (ремонт лифтовой шахты) договор №47-СМР от 15.10.2014</t>
  </si>
  <si>
    <t>Звездная д. 9/16</t>
  </si>
  <si>
    <t>Давыдов Василий Васильевич 89880706523</t>
  </si>
  <si>
    <t>ООО «Омега» договор №49-СМР от 17.10.2014</t>
  </si>
  <si>
    <t>Члены комиссии Давыдов В.В.</t>
  </si>
  <si>
    <t>ул. Н. Островского, д. 164</t>
  </si>
  <si>
    <t>Сушков Виктор Анатольевич 89608653131</t>
  </si>
  <si>
    <t>ООО «Омега» договор №50-СМР от 17.10.2014</t>
  </si>
  <si>
    <t>Члены комиссии Сушков В.А.</t>
  </si>
  <si>
    <t>ул. Н. Островского , д. 152, корп. 3</t>
  </si>
  <si>
    <t>Иванова Тамара Федоровна 89170854523</t>
  </si>
  <si>
    <t>ООО «Мастер Групп» договор №1-СМР от 19.09.2014</t>
  </si>
  <si>
    <t>Члены комиссии Иванова Т.Ф.</t>
  </si>
  <si>
    <t>ООО «Мастер Групп» договор №2-СМР от 19.09.2014</t>
  </si>
  <si>
    <t>Доп. Работы ремонт  систем электроснабжения</t>
  </si>
  <si>
    <t>ООО «Мастер Групп» договор №03-СМР от 06.04.2015</t>
  </si>
  <si>
    <t>ул. Наб. Реки Воложки д. 95А, литер А</t>
  </si>
  <si>
    <t>Щеголихина Нина Ивановна 89275742148</t>
  </si>
  <si>
    <t>ООО «Союз» договор №58-СМР от 22.10.2014</t>
  </si>
  <si>
    <t>Члены комиссии Щеголихина Н.И.</t>
  </si>
  <si>
    <t>Установка ПУ (ХВС, тепло)</t>
  </si>
  <si>
    <t>ул. Водников д. 96</t>
  </si>
  <si>
    <t>Михайлов Алексей Иванович 89021194511</t>
  </si>
  <si>
    <t>ООО «Мастер Групп» договор № 3-СМР</t>
  </si>
  <si>
    <t>Члены комиссии Михайлов А.И.</t>
  </si>
  <si>
    <t xml:space="preserve">ООО «Мастер Групп» договор №4-СМР </t>
  </si>
  <si>
    <t>х</t>
  </si>
  <si>
    <t>Муниципальное образование "Камызяк"</t>
  </si>
  <si>
    <t>ул. Любича д. 12</t>
  </si>
  <si>
    <t>ООО «Жилой микрорайон» 89275519628</t>
  </si>
  <si>
    <t xml:space="preserve">Ремонт подвальных помещений </t>
  </si>
  <si>
    <t xml:space="preserve">Члены комиссии </t>
  </si>
  <si>
    <t>отказ</t>
  </si>
  <si>
    <t>ООО ПКФ «Строй-Ден» договор №53-СМР от 20.10.2014, ремонт балконов — ООО ПКФ «Строй-Ден» договор №87-СМР от 15.12.2014</t>
  </si>
  <si>
    <t>Ремонт отмостки 20.10.2014 ремонт балконов — 15.12.2014</t>
  </si>
  <si>
    <t>Ремонт отмостки 15.02.2015 ремонт балконов — 30.04.2015</t>
  </si>
  <si>
    <t>ул. М. Горького д. 102</t>
  </si>
  <si>
    <t>ООО ПКФ «Строй-Ден» договор №52-СМР от 20.10.2014</t>
  </si>
  <si>
    <t>Члены комиссии</t>
  </si>
  <si>
    <t>ООО ПКФ «Строй-Ден» договор №88-СМР от 15.12.2014</t>
  </si>
  <si>
    <t>ул. Юбилейная д. 14</t>
  </si>
  <si>
    <t xml:space="preserve">Бартошек Борис Борисович </t>
  </si>
  <si>
    <t>ООО «Строй-Ден» договор №72-СМР от 11.11.2014</t>
  </si>
  <si>
    <t>ООО «Строй-Ден» договор №02-СМР от 06.04.2015</t>
  </si>
  <si>
    <t>ул. М. Горького д. 98</t>
  </si>
  <si>
    <t>Васильева Нина Лаврентьевна 89170982738</t>
  </si>
  <si>
    <t>ООО ПКФ «Строй-Ден» договор №67-СМР от 06.11.2014 ООО ПКФ «Строй-Ден» договор №67-СМР от 06.11.2014</t>
  </si>
  <si>
    <t>Члены комиссии Бартошек Б.Б.</t>
  </si>
  <si>
    <t>ул. М. Горького д. 73</t>
  </si>
  <si>
    <t>Мухина Антонина Борисовна 89276609320</t>
  </si>
  <si>
    <t>ООО ПКФ «Строй-Ден» договор №51-СМР от 20.10.2014</t>
  </si>
  <si>
    <t>Члены комиссии Мухина А.Б.</t>
  </si>
  <si>
    <t>Итого  по МО «Камызяк» 5 МКД</t>
  </si>
  <si>
    <t>Муниципальное образование "Город Нариманов"</t>
  </si>
  <si>
    <t>ул. Астраханская, д. 10</t>
  </si>
  <si>
    <t>Унжакова Вера Васильевна 89053628688</t>
  </si>
  <si>
    <t>Члены комиссии Унжакова В.В.</t>
  </si>
  <si>
    <t>ООО «Союз» договор №64-СМР от 29.10.2014</t>
  </si>
  <si>
    <t>ул. Астраханская, д. 5</t>
  </si>
  <si>
    <t>ООО «Союз» договор №81-СМР от 25.11.2014</t>
  </si>
  <si>
    <t>ООО «Союз» договор №74-СМР от 14.11.2014</t>
  </si>
  <si>
    <t>ул. Волгоградская д. 6</t>
  </si>
  <si>
    <t>ООО «Союз» договор №66-СМР от 29.10.2014</t>
  </si>
  <si>
    <t>ООО «Союз» договор №04-СМР от 06.04.2015</t>
  </si>
  <si>
    <t>ул. Волгоградская д. 4</t>
  </si>
  <si>
    <t>ООО «Союз» договор №82-СМР от 25.11.2014</t>
  </si>
  <si>
    <t>ООО «Союз» договор №73-СМР от 14.11.2014</t>
  </si>
  <si>
    <t>ул. Набережная д. 8</t>
  </si>
  <si>
    <t>ООО «Союз» договор №65-СМР от 29.10.2014</t>
  </si>
  <si>
    <t>ул. Центральная, д. 5</t>
  </si>
  <si>
    <t>ООО «Союз» договор №60-СМР от 29.10.2014</t>
  </si>
  <si>
    <t>ООО «Союз» договор №07-СМР от 06.04.2015</t>
  </si>
  <si>
    <t>ул. Центральная, д. 9</t>
  </si>
  <si>
    <t>ООО «Союз» договор №68-СМР от 07.11.2014</t>
  </si>
  <si>
    <t>ООО «Союз» договор №05-СМР от 06.04.2015</t>
  </si>
  <si>
    <t>ул. Центральная, д. 11</t>
  </si>
  <si>
    <t>ООО «Союз» договор №61-СМР от 29.10.2014</t>
  </si>
  <si>
    <t>ул. Центральная, д.23а</t>
  </si>
  <si>
    <t>ООО «Союз» договор №57-СМР от 22.10.2014</t>
  </si>
  <si>
    <t>ул. Центральная д. 33</t>
  </si>
  <si>
    <t>ООО «Союз» договор №62-СМР от 29.10.2014</t>
  </si>
  <si>
    <t>ООО «Союз» договор №06-СМР от 06.04.2015</t>
  </si>
  <si>
    <t>ул. Центральная д. 2</t>
  </si>
  <si>
    <t>ООО «Союз» договор №63-СМР от 29.10.2014</t>
  </si>
  <si>
    <t>ООО «Союз»  договор №63-СМР от 29.10.2014</t>
  </si>
  <si>
    <t>Доп. Работы ремонт  систем холодного водоснабжения</t>
  </si>
  <si>
    <t>ООО «Союз»  договор №08-СМР от 06.04.2015</t>
  </si>
  <si>
    <t>ул. Центральная д. 6</t>
  </si>
  <si>
    <t>ООО «Союз» договор №56-СМР от 22.10.2014</t>
  </si>
  <si>
    <t>ул. Набережная д. 3</t>
  </si>
  <si>
    <t>Денисов Александр Николаевич 89170957860</t>
  </si>
  <si>
    <t>ООО «Союз» договор №54-СМР от 22.10.2014</t>
  </si>
  <si>
    <t>Члены комиссии Денисов А.Н.</t>
  </si>
  <si>
    <t>ул. Набережная д. 14</t>
  </si>
  <si>
    <t>ООО «Союз» договор №55-СМР от 22.10.2014</t>
  </si>
  <si>
    <t>Итого  по МО "Город Нариманов" 14 МКД:</t>
  </si>
  <si>
    <t>Муниципальное образование "Город Харабали"</t>
  </si>
  <si>
    <t>ул. 8-й квартал, д. 4</t>
  </si>
  <si>
    <t>Дроздова Елена Владимировна</t>
  </si>
  <si>
    <t>ООО «Союз» договор №80-СМР от 25.11.2014</t>
  </si>
  <si>
    <t>Члены комиссии Дроздова Е.В.</t>
  </si>
  <si>
    <t>ул. 7-й квартал,11</t>
  </si>
  <si>
    <t>ООО «Союз» договор №86-СМР от 15.12.2014</t>
  </si>
  <si>
    <t>Другие виды работ</t>
  </si>
  <si>
    <t>ул. 8-й квартал, д. 10</t>
  </si>
  <si>
    <t>ООО «Союз»  договор №84-СМР от 15.12.2014</t>
  </si>
  <si>
    <t>Установка коллективных ПУ ХВС</t>
  </si>
  <si>
    <t>Итого  по МО "Харабали" 3 МКД</t>
  </si>
  <si>
    <t>Итого  по Астраханской области 39 МКД:</t>
  </si>
  <si>
    <t>ул. Куликова, 46, корп. 1, литер А</t>
  </si>
  <si>
    <t>ООО "Неатон - Строй"</t>
  </si>
  <si>
    <t>Установка ПУ</t>
  </si>
  <si>
    <t>Итого  по МО "Город Астрахань" 18 МКД:</t>
  </si>
  <si>
    <t>ИТОГО</t>
  </si>
  <si>
    <t xml:space="preserve">Информация о заключенном договоре на изготовление энергетического павпорта по МКЛ, включенных в краткосрочный план региональной программы по проведению капитального ремонта общего имущества в многоквартирных домах Астраханской области на 2014-2043 годы в 2014-2015 году </t>
  </si>
  <si>
    <t xml:space="preserve">Стоимость </t>
  </si>
  <si>
    <t>Итого  по Астраханской области 40 МКД:</t>
  </si>
  <si>
    <t>Полностью завершен</t>
  </si>
  <si>
    <t>ПСД</t>
  </si>
  <si>
    <t>Строительный контроль</t>
  </si>
  <si>
    <t>Государственный контроль</t>
  </si>
  <si>
    <t>дополнительные работы( ???)</t>
  </si>
  <si>
    <t>Установка ПУ (тепло)</t>
  </si>
  <si>
    <t>Установка ПУ (ХВС)</t>
  </si>
  <si>
    <t>Доп. Работы на ремонт электроснабжение</t>
  </si>
  <si>
    <t>ГВС</t>
  </si>
  <si>
    <t>Ремонт фасада (балконы)</t>
  </si>
  <si>
    <t>ХВС</t>
  </si>
  <si>
    <t>Работы завершены. По дому осталась экономия</t>
  </si>
  <si>
    <t>Основные работы завершены, остались работы за счет экономии</t>
  </si>
  <si>
    <t>Ремонт входных дверей</t>
  </si>
  <si>
    <t>Ремонт фасада (отмостка)</t>
  </si>
  <si>
    <t>Работы завершены</t>
  </si>
  <si>
    <t>Доп. Работы на ремонт подъездов и внутридомовых инженерных систем холодного водоснабжения</t>
  </si>
  <si>
    <t>Доп. Работы на ремонт фасада</t>
  </si>
  <si>
    <t>Доп. Работы на ремонт фасада: замена окон в подъездах</t>
  </si>
  <si>
    <t>Доп. Работы на ремонт кровли</t>
  </si>
  <si>
    <t>Доп. Работы на ремонт подъездов.</t>
  </si>
  <si>
    <t>дополнительные работы по ремонту фасада</t>
  </si>
  <si>
    <t>Основные работы завершены, выполняются работы  за счет экономии</t>
  </si>
  <si>
    <t>Основные работы завершены, осталась экономия.Собственники решают на что израсходовать денежные средства</t>
  </si>
  <si>
    <t>Работы завершены, оформляется КС-2</t>
  </si>
  <si>
    <t>Полностью завершены</t>
  </si>
  <si>
    <t>Основные работы завершены, остались работы за счет экономии, смета находится на проверке</t>
  </si>
  <si>
    <t xml:space="preserve">ООО "Мастер Групп" </t>
  </si>
  <si>
    <t>Собственники не определились с экономией</t>
  </si>
  <si>
    <t>Доп. Работы по ремонту фасада: устройство козырьков</t>
  </si>
  <si>
    <t>смета находится на проверке</t>
  </si>
  <si>
    <t>ООО "Союз"</t>
  </si>
  <si>
    <t>Доп. Работы по ремонту отопления</t>
  </si>
  <si>
    <t>Доп работы по устройству отмостки</t>
  </si>
  <si>
    <t>Собственники решают по экономии</t>
  </si>
  <si>
    <t>ООО "Союз" дополнительное соглашение №3  от 15.06.2015</t>
  </si>
  <si>
    <t>ООО ПКФ «Строй-Ден» договор №67-СМР от 06.11.2014</t>
  </si>
  <si>
    <t>ООО "Союз" дополнительное соглашение №2  от 15.06.2015</t>
  </si>
  <si>
    <t>Собственники решают, что делать на экономию</t>
  </si>
  <si>
    <t>Ремонт отмостки 15.02.2015 ремонт балконов — 01.09.2015</t>
  </si>
  <si>
    <t>Доп работы ремонт фасада</t>
  </si>
  <si>
    <t xml:space="preserve"> и </t>
  </si>
  <si>
    <t>Стоимость капитального ремонта по подписанным актам выполненных работ</t>
  </si>
  <si>
    <t>Работы завершены. Оформление КС-2</t>
  </si>
  <si>
    <t>Основные работы завершены, остались работы за счет экономии. Готовится исполнительная документация</t>
  </si>
  <si>
    <t>Готовится исполнительная документация</t>
  </si>
  <si>
    <t>руб</t>
  </si>
  <si>
    <t>Возврат  денежных  средств после  проверки</t>
  </si>
  <si>
    <t>В настоящее время ведется работа по получениию экспертизы ПСД.</t>
  </si>
  <si>
    <t>Денежные средства, подлежащие возврату в бюджет по факту  выполнения  и проверки</t>
  </si>
  <si>
    <t>Доп. Работы по ремонту крыши</t>
  </si>
  <si>
    <t>Доп.работы  по  ремонту  фасада( установка  оконных  блоков)</t>
  </si>
  <si>
    <t xml:space="preserve">Ремонт  канализации  </t>
  </si>
  <si>
    <t>лок. смет нет</t>
  </si>
  <si>
    <t>Доп.работы  по  ремонту водосточной системы</t>
  </si>
  <si>
    <t>Доп. Работы по ремонту инженерных сетей электроснабжения</t>
  </si>
  <si>
    <t>ООО "Союз" дополнительное соглашение №3  от 15.06.2015 к дог.  № 62-СМР</t>
  </si>
  <si>
    <t>Доп. работы по ремонту   фасада</t>
  </si>
  <si>
    <t xml:space="preserve">Доп. работы по ремонту электроснабжения </t>
  </si>
  <si>
    <t>Доп. Работы ремонт  фасада (отмостка)</t>
  </si>
  <si>
    <t xml:space="preserve">Доп. Работы  по ремонту подъездов </t>
  </si>
  <si>
    <t xml:space="preserve">                </t>
  </si>
  <si>
    <t>— ООО ПКФ «Строй-Ден» договор №87-СМР от 15.12.2014</t>
  </si>
  <si>
    <t>ООО ПКФ «Строй-Ден» договор №53-СМР от 20.10.2014</t>
  </si>
  <si>
    <t>Ремонт фасада (отмостка  и балконы)</t>
  </si>
  <si>
    <t>Доп. Работы ремонт  фасада (ремонт балконных  плит)</t>
  </si>
  <si>
    <t>Доп. Работы на ремонт фасада (ремонт балконных плит)</t>
  </si>
  <si>
    <t xml:space="preserve">Остаток неосвоенных денежных средств фактически  по актам
</t>
  </si>
  <si>
    <t>ВСЕГО освоенных ден.ср-в фактически с учетом  проведенной  проверки</t>
  </si>
  <si>
    <t>Доп. работы  по  электроснабжению</t>
  </si>
  <si>
    <t>ОАО «Карачаровский механический завод» договор №91-СМР от 12.12..2014</t>
  </si>
  <si>
    <t>ОАО «Карачаровский механический завод» договор №77-СМР от 24.11.2014</t>
  </si>
  <si>
    <t>ОАО «Карачаровский механический завод» договор №79-СМР от 24.11.2014</t>
  </si>
  <si>
    <t>ОАО «Карачаровский механический завод» договор №90-СМР от 12.12..2014</t>
  </si>
  <si>
    <t>ООО «Мастер Групп» договор № 3-СМР от 19.09.2014</t>
  </si>
  <si>
    <t>ООО «Мастер Групп» договор №4-СМР от 19.09.2014</t>
  </si>
  <si>
    <t>.</t>
  </si>
  <si>
    <t xml:space="preserve"> перечень видов услуг и (или) работ по капитальному ремонту общего имущества в многоквартирных домах, расположенных на территории Астраханской области, выполненных в  2015 году.</t>
  </si>
  <si>
    <t>Муниципальное образование "Город Камызяк"</t>
  </si>
  <si>
    <t>Всего:  проведен капитальный ремонт в 39 МКД  /119 видов работ общую сумму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</si>
</sst>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\-??_р_._-;_-@_-"/>
    <numFmt numFmtId="165" formatCode="#,##0_р_."/>
    <numFmt numFmtId="166" formatCode="#,##0.00_р_."/>
    <numFmt numFmtId="167" formatCode="mm/yyyy"/>
    <numFmt numFmtId="168" formatCode="dd/mm/yy"/>
    <numFmt numFmtId="169" formatCode="_-* #,##0_р_._-;\-* #,##0_р_._-;_-* \-??_р_._-;_-@_-"/>
    <numFmt numFmtId="170" formatCode="#,##0.0"/>
  </numFmts>
  <fonts count="31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4"/>
      <name val="Arial Cyr"/>
      <family val="2"/>
      <charset val="204"/>
    </font>
    <font>
      <sz val="10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41"/>
      </patternFill>
    </fill>
    <fill>
      <patternFill patternType="solid">
        <fgColor theme="9" tint="0.79998168889431442"/>
        <bgColor indexed="52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26"/>
      </patternFill>
    </fill>
  </fills>
  <borders count="8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4" fillId="0" borderId="0"/>
    <xf numFmtId="0" fontId="4" fillId="0" borderId="0"/>
    <xf numFmtId="0" fontId="4" fillId="0" borderId="0"/>
    <xf numFmtId="9" fontId="1" fillId="0" borderId="0"/>
    <xf numFmtId="9" fontId="1" fillId="0" borderId="0"/>
    <xf numFmtId="164" fontId="1" fillId="0" borderId="0"/>
    <xf numFmtId="164" fontId="1" fillId="0" borderId="0"/>
  </cellStyleXfs>
  <cellXfs count="760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7" fillId="0" borderId="0" xfId="1" applyFont="1"/>
    <xf numFmtId="0" fontId="10" fillId="0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0" fillId="3" borderId="0" xfId="1" applyFont="1" applyFill="1" applyAlignment="1">
      <alignment horizontal="center"/>
    </xf>
    <xf numFmtId="0" fontId="12" fillId="0" borderId="0" xfId="1" applyFont="1"/>
    <xf numFmtId="0" fontId="10" fillId="3" borderId="0" xfId="1" applyFont="1" applyFill="1"/>
    <xf numFmtId="0" fontId="10" fillId="0" borderId="0" xfId="1" applyFont="1"/>
    <xf numFmtId="0" fontId="10" fillId="2" borderId="0" xfId="1" applyFont="1" applyFill="1"/>
    <xf numFmtId="0" fontId="10" fillId="0" borderId="0" xfId="1" applyFont="1" applyFill="1"/>
    <xf numFmtId="14" fontId="6" fillId="4" borderId="0" xfId="1" applyNumberFormat="1" applyFont="1" applyFill="1" applyBorder="1" applyAlignment="1">
      <alignment horizontal="center" vertical="center"/>
    </xf>
    <xf numFmtId="0" fontId="6" fillId="0" borderId="0" xfId="1" applyFont="1" applyFill="1"/>
    <xf numFmtId="14" fontId="6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/>
    <xf numFmtId="0" fontId="7" fillId="0" borderId="0" xfId="1" applyFont="1" applyFill="1"/>
    <xf numFmtId="0" fontId="5" fillId="4" borderId="0" xfId="1" applyFont="1" applyFill="1" applyBorder="1" applyAlignment="1">
      <alignment horizontal="center" vertical="center" textRotation="90"/>
    </xf>
    <xf numFmtId="0" fontId="6" fillId="5" borderId="2" xfId="1" applyFont="1" applyFill="1" applyBorder="1" applyAlignment="1">
      <alignment horizontal="center" vertical="center" wrapText="1"/>
    </xf>
    <xf numFmtId="166" fontId="10" fillId="5" borderId="2" xfId="1" applyNumberFormat="1" applyFont="1" applyFill="1" applyBorder="1" applyAlignment="1">
      <alignment horizontal="center" vertical="center"/>
    </xf>
    <xf numFmtId="14" fontId="11" fillId="5" borderId="3" xfId="1" applyNumberFormat="1" applyFont="1" applyFill="1" applyBorder="1" applyAlignment="1">
      <alignment horizontal="center" vertical="center" wrapText="1"/>
    </xf>
    <xf numFmtId="9" fontId="7" fillId="5" borderId="2" xfId="1" applyNumberFormat="1" applyFont="1" applyFill="1" applyBorder="1" applyAlignment="1">
      <alignment horizontal="center" vertical="center"/>
    </xf>
    <xf numFmtId="1" fontId="10" fillId="5" borderId="2" xfId="1" applyNumberFormat="1" applyFont="1" applyFill="1" applyBorder="1" applyAlignment="1">
      <alignment horizontal="center" vertical="center"/>
    </xf>
    <xf numFmtId="9" fontId="8" fillId="5" borderId="4" xfId="1" applyNumberFormat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/>
    </xf>
    <xf numFmtId="49" fontId="6" fillId="5" borderId="2" xfId="1" applyNumberFormat="1" applyFont="1" applyFill="1" applyBorder="1" applyAlignment="1">
      <alignment horizontal="center" vertical="center" wrapText="1"/>
    </xf>
    <xf numFmtId="9" fontId="8" fillId="5" borderId="4" xfId="1" applyNumberFormat="1" applyFont="1" applyFill="1" applyBorder="1" applyAlignment="1">
      <alignment horizontal="center"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14" fontId="13" fillId="5" borderId="5" xfId="1" applyNumberFormat="1" applyFont="1" applyFill="1" applyBorder="1" applyAlignment="1">
      <alignment horizontal="center" vertical="center" wrapText="1"/>
    </xf>
    <xf numFmtId="14" fontId="6" fillId="5" borderId="2" xfId="1" applyNumberFormat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textRotation="90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/>
    </xf>
    <xf numFmtId="4" fontId="10" fillId="5" borderId="2" xfId="1" applyNumberFormat="1" applyFont="1" applyFill="1" applyBorder="1" applyAlignment="1">
      <alignment horizontal="center" vertical="center" wrapText="1"/>
    </xf>
    <xf numFmtId="0" fontId="10" fillId="5" borderId="2" xfId="2" applyNumberFormat="1" applyFont="1" applyFill="1" applyBorder="1" applyAlignment="1" applyProtection="1">
      <alignment horizontal="center" vertical="center" wrapText="1"/>
    </xf>
    <xf numFmtId="166" fontId="7" fillId="5" borderId="2" xfId="1" applyNumberFormat="1" applyFont="1" applyFill="1" applyBorder="1" applyAlignment="1">
      <alignment horizontal="center" vertical="center"/>
    </xf>
    <xf numFmtId="167" fontId="10" fillId="5" borderId="2" xfId="1" applyNumberFormat="1" applyFont="1" applyFill="1" applyBorder="1" applyAlignment="1">
      <alignment horizontal="center" vertical="center" wrapText="1"/>
    </xf>
    <xf numFmtId="9" fontId="12" fillId="5" borderId="2" xfId="19" applyFont="1" applyFill="1" applyBorder="1" applyAlignment="1">
      <alignment horizontal="center" vertical="center"/>
    </xf>
    <xf numFmtId="0" fontId="20" fillId="6" borderId="0" xfId="1" applyFont="1" applyFill="1" applyAlignment="1">
      <alignment vertical="center"/>
    </xf>
    <xf numFmtId="1" fontId="6" fillId="7" borderId="2" xfId="1" applyNumberFormat="1" applyFont="1" applyFill="1" applyBorder="1" applyAlignment="1">
      <alignment horizontal="center" vertical="center" wrapText="1"/>
    </xf>
    <xf numFmtId="2" fontId="6" fillId="7" borderId="2" xfId="1" applyNumberFormat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1" fontId="6" fillId="8" borderId="2" xfId="1" applyNumberFormat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8" fillId="7" borderId="4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166" fontId="10" fillId="7" borderId="2" xfId="1" applyNumberFormat="1" applyFont="1" applyFill="1" applyBorder="1" applyAlignment="1">
      <alignment horizontal="center" vertical="center"/>
    </xf>
    <xf numFmtId="1" fontId="6" fillId="6" borderId="2" xfId="1" applyNumberFormat="1" applyFont="1" applyFill="1" applyBorder="1" applyAlignment="1">
      <alignment horizontal="center" vertical="center" wrapText="1"/>
    </xf>
    <xf numFmtId="14" fontId="6" fillId="6" borderId="2" xfId="1" applyNumberFormat="1" applyFont="1" applyFill="1" applyBorder="1" applyAlignment="1">
      <alignment horizontal="center" vertical="center" wrapText="1"/>
    </xf>
    <xf numFmtId="14" fontId="11" fillId="6" borderId="2" xfId="1" applyNumberFormat="1" applyFont="1" applyFill="1" applyBorder="1" applyAlignment="1">
      <alignment horizontal="center" vertical="center" wrapText="1"/>
    </xf>
    <xf numFmtId="9" fontId="7" fillId="6" borderId="2" xfId="1" applyNumberFormat="1" applyFont="1" applyFill="1" applyBorder="1" applyAlignment="1">
      <alignment horizontal="center" vertical="center"/>
    </xf>
    <xf numFmtId="1" fontId="10" fillId="6" borderId="2" xfId="1" applyNumberFormat="1" applyFont="1" applyFill="1" applyBorder="1" applyAlignment="1">
      <alignment horizontal="center" vertical="center"/>
    </xf>
    <xf numFmtId="49" fontId="6" fillId="7" borderId="2" xfId="1" applyNumberFormat="1" applyFont="1" applyFill="1" applyBorder="1" applyAlignment="1">
      <alignment horizontal="center" vertical="center" wrapText="1"/>
    </xf>
    <xf numFmtId="49" fontId="6" fillId="6" borderId="2" xfId="1" applyNumberFormat="1" applyFont="1" applyFill="1" applyBorder="1" applyAlignment="1">
      <alignment horizontal="center" vertical="center" wrapText="1"/>
    </xf>
    <xf numFmtId="166" fontId="10" fillId="6" borderId="2" xfId="1" applyNumberFormat="1" applyFont="1" applyFill="1" applyBorder="1" applyAlignment="1">
      <alignment horizontal="center" vertical="center"/>
    </xf>
    <xf numFmtId="9" fontId="8" fillId="6" borderId="4" xfId="1" applyNumberFormat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textRotation="90" wrapText="1"/>
    </xf>
    <xf numFmtId="0" fontId="10" fillId="7" borderId="2" xfId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/>
    </xf>
    <xf numFmtId="4" fontId="10" fillId="6" borderId="2" xfId="1" applyNumberFormat="1" applyFont="1" applyFill="1" applyBorder="1" applyAlignment="1">
      <alignment horizontal="center" vertical="center" wrapText="1"/>
    </xf>
    <xf numFmtId="0" fontId="10" fillId="6" borderId="2" xfId="2" applyNumberFormat="1" applyFont="1" applyFill="1" applyBorder="1" applyAlignment="1" applyProtection="1">
      <alignment horizontal="center" vertical="center" wrapText="1"/>
    </xf>
    <xf numFmtId="167" fontId="10" fillId="6" borderId="2" xfId="1" applyNumberFormat="1" applyFont="1" applyFill="1" applyBorder="1" applyAlignment="1">
      <alignment horizontal="center" vertical="center" wrapText="1"/>
    </xf>
    <xf numFmtId="9" fontId="12" fillId="6" borderId="2" xfId="19" applyFont="1" applyFill="1" applyBorder="1" applyAlignment="1">
      <alignment horizontal="center" vertical="center"/>
    </xf>
    <xf numFmtId="9" fontId="8" fillId="6" borderId="4" xfId="1" applyNumberFormat="1" applyFont="1" applyFill="1" applyBorder="1" applyAlignment="1">
      <alignment horizontal="center" vertical="center"/>
    </xf>
    <xf numFmtId="0" fontId="10" fillId="6" borderId="6" xfId="1" applyFont="1" applyFill="1" applyBorder="1" applyAlignment="1">
      <alignment horizontal="center" vertical="center" textRotation="90" wrapText="1"/>
    </xf>
    <xf numFmtId="0" fontId="10" fillId="7" borderId="6" xfId="1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/>
    </xf>
    <xf numFmtId="4" fontId="10" fillId="6" borderId="6" xfId="1" applyNumberFormat="1" applyFont="1" applyFill="1" applyBorder="1" applyAlignment="1">
      <alignment horizontal="center" vertical="center" wrapText="1"/>
    </xf>
    <xf numFmtId="0" fontId="10" fillId="6" borderId="6" xfId="2" applyNumberFormat="1" applyFont="1" applyFill="1" applyBorder="1" applyAlignment="1" applyProtection="1">
      <alignment horizontal="center" vertical="center" wrapText="1"/>
    </xf>
    <xf numFmtId="166" fontId="7" fillId="8" borderId="6" xfId="1" applyNumberFormat="1" applyFont="1" applyFill="1" applyBorder="1" applyAlignment="1">
      <alignment horizontal="center" vertical="center"/>
    </xf>
    <xf numFmtId="167" fontId="10" fillId="6" borderId="6" xfId="1" applyNumberFormat="1" applyFont="1" applyFill="1" applyBorder="1" applyAlignment="1">
      <alignment horizontal="center" vertical="center" wrapText="1"/>
    </xf>
    <xf numFmtId="1" fontId="10" fillId="7" borderId="2" xfId="1" applyNumberFormat="1" applyFont="1" applyFill="1" applyBorder="1" applyAlignment="1">
      <alignment horizontal="center" vertical="center"/>
    </xf>
    <xf numFmtId="0" fontId="8" fillId="6" borderId="4" xfId="1" applyFont="1" applyFill="1" applyBorder="1" applyAlignment="1">
      <alignment horizontal="center" vertical="center"/>
    </xf>
    <xf numFmtId="166" fontId="7" fillId="8" borderId="2" xfId="1" applyNumberFormat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 wrapText="1"/>
    </xf>
    <xf numFmtId="0" fontId="21" fillId="6" borderId="4" xfId="1" applyFont="1" applyFill="1" applyBorder="1" applyAlignment="1">
      <alignment vertical="center"/>
    </xf>
    <xf numFmtId="14" fontId="11" fillId="5" borderId="2" xfId="1" applyNumberFormat="1" applyFont="1" applyFill="1" applyBorder="1" applyAlignment="1">
      <alignment horizontal="center" vertical="center" wrapText="1"/>
    </xf>
    <xf numFmtId="0" fontId="20" fillId="5" borderId="7" xfId="1" applyFont="1" applyFill="1" applyBorder="1" applyAlignment="1">
      <alignment vertical="center" wrapText="1"/>
    </xf>
    <xf numFmtId="0" fontId="6" fillId="9" borderId="2" xfId="1" applyFont="1" applyFill="1" applyBorder="1" applyAlignment="1">
      <alignment horizontal="center" vertical="center" wrapText="1"/>
    </xf>
    <xf numFmtId="166" fontId="10" fillId="9" borderId="2" xfId="1" applyNumberFormat="1" applyFont="1" applyFill="1" applyBorder="1" applyAlignment="1">
      <alignment horizontal="center" vertical="center"/>
    </xf>
    <xf numFmtId="1" fontId="10" fillId="9" borderId="2" xfId="1" applyNumberFormat="1" applyFont="1" applyFill="1" applyBorder="1" applyAlignment="1">
      <alignment horizontal="center" vertical="center"/>
    </xf>
    <xf numFmtId="0" fontId="20" fillId="9" borderId="8" xfId="1" applyFont="1" applyFill="1" applyBorder="1" applyAlignment="1">
      <alignment vertical="center" wrapText="1"/>
    </xf>
    <xf numFmtId="166" fontId="10" fillId="5" borderId="2" xfId="1" applyNumberFormat="1" applyFont="1" applyFill="1" applyBorder="1" applyAlignment="1">
      <alignment horizontal="center" vertical="center" wrapText="1"/>
    </xf>
    <xf numFmtId="166" fontId="22" fillId="5" borderId="2" xfId="1" applyNumberFormat="1" applyFont="1" applyFill="1" applyBorder="1" applyAlignment="1">
      <alignment horizontal="center" vertical="center"/>
    </xf>
    <xf numFmtId="0" fontId="20" fillId="5" borderId="4" xfId="1" applyFont="1" applyFill="1" applyBorder="1" applyAlignment="1">
      <alignment horizontal="center" vertical="center"/>
    </xf>
    <xf numFmtId="49" fontId="6" fillId="9" borderId="2" xfId="1" applyNumberFormat="1" applyFont="1" applyFill="1" applyBorder="1" applyAlignment="1">
      <alignment horizontal="center" vertical="center" wrapText="1"/>
    </xf>
    <xf numFmtId="14" fontId="6" fillId="9" borderId="2" xfId="1" applyNumberFormat="1" applyFont="1" applyFill="1" applyBorder="1" applyAlignment="1">
      <alignment horizontal="center" vertical="center" wrapText="1"/>
    </xf>
    <xf numFmtId="9" fontId="7" fillId="9" borderId="2" xfId="1" applyNumberFormat="1" applyFont="1" applyFill="1" applyBorder="1" applyAlignment="1">
      <alignment horizontal="center" vertical="center"/>
    </xf>
    <xf numFmtId="0" fontId="20" fillId="9" borderId="4" xfId="1" applyFont="1" applyFill="1" applyBorder="1" applyAlignment="1">
      <alignment horizontal="center" vertical="center" wrapText="1"/>
    </xf>
    <xf numFmtId="14" fontId="6" fillId="7" borderId="2" xfId="1" applyNumberFormat="1" applyFont="1" applyFill="1" applyBorder="1" applyAlignment="1">
      <alignment horizontal="center" vertical="center" wrapText="1"/>
    </xf>
    <xf numFmtId="9" fontId="7" fillId="7" borderId="2" xfId="1" applyNumberFormat="1" applyFont="1" applyFill="1" applyBorder="1" applyAlignment="1">
      <alignment horizontal="center" vertical="center"/>
    </xf>
    <xf numFmtId="9" fontId="8" fillId="7" borderId="4" xfId="1" applyNumberFormat="1" applyFont="1" applyFill="1" applyBorder="1" applyAlignment="1">
      <alignment horizontal="center" vertical="center"/>
    </xf>
    <xf numFmtId="14" fontId="11" fillId="7" borderId="2" xfId="1" applyNumberFormat="1" applyFont="1" applyFill="1" applyBorder="1" applyAlignment="1">
      <alignment horizontal="center" vertical="center" wrapText="1"/>
    </xf>
    <xf numFmtId="14" fontId="6" fillId="7" borderId="6" xfId="1" applyNumberFormat="1" applyFont="1" applyFill="1" applyBorder="1" applyAlignment="1">
      <alignment horizontal="center" vertical="center" wrapText="1"/>
    </xf>
    <xf numFmtId="9" fontId="12" fillId="7" borderId="2" xfId="19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14" fontId="11" fillId="6" borderId="6" xfId="1" applyNumberFormat="1" applyFont="1" applyFill="1" applyBorder="1" applyAlignment="1">
      <alignment horizontal="center" vertical="center" wrapText="1"/>
    </xf>
    <xf numFmtId="14" fontId="11" fillId="6" borderId="3" xfId="1" applyNumberFormat="1" applyFont="1" applyFill="1" applyBorder="1" applyAlignment="1">
      <alignment horizontal="center" vertical="center" wrapText="1"/>
    </xf>
    <xf numFmtId="14" fontId="6" fillId="6" borderId="3" xfId="1" applyNumberFormat="1" applyFont="1" applyFill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 wrapText="1"/>
    </xf>
    <xf numFmtId="1" fontId="7" fillId="6" borderId="2" xfId="19" applyNumberFormat="1" applyFont="1" applyFill="1" applyBorder="1" applyAlignment="1" applyProtection="1">
      <alignment horizontal="center" vertical="center"/>
    </xf>
    <xf numFmtId="0" fontId="8" fillId="6" borderId="4" xfId="1" applyFont="1" applyFill="1" applyBorder="1" applyAlignment="1">
      <alignment horizontal="center" vertical="center" wrapText="1"/>
    </xf>
    <xf numFmtId="14" fontId="6" fillId="6" borderId="2" xfId="1" applyNumberFormat="1" applyFont="1" applyFill="1" applyBorder="1" applyAlignment="1">
      <alignment horizontal="center" vertical="center"/>
    </xf>
    <xf numFmtId="1" fontId="10" fillId="6" borderId="2" xfId="19" applyNumberFormat="1" applyFont="1" applyFill="1" applyBorder="1" applyAlignment="1" applyProtection="1">
      <alignment horizontal="center" vertical="center"/>
    </xf>
    <xf numFmtId="166" fontId="7" fillId="6" borderId="2" xfId="1" applyNumberFormat="1" applyFont="1" applyFill="1" applyBorder="1" applyAlignment="1">
      <alignment horizontal="center" vertical="center"/>
    </xf>
    <xf numFmtId="49" fontId="6" fillId="7" borderId="9" xfId="1" applyNumberFormat="1" applyFont="1" applyFill="1" applyBorder="1" applyAlignment="1">
      <alignment horizontal="center" vertical="center" wrapText="1"/>
    </xf>
    <xf numFmtId="166" fontId="10" fillId="6" borderId="9" xfId="1" applyNumberFormat="1" applyFont="1" applyFill="1" applyBorder="1" applyAlignment="1">
      <alignment horizontal="center"/>
    </xf>
    <xf numFmtId="9" fontId="7" fillId="6" borderId="9" xfId="1" applyNumberFormat="1" applyFont="1" applyFill="1" applyBorder="1" applyAlignment="1">
      <alignment horizontal="center"/>
    </xf>
    <xf numFmtId="1" fontId="10" fillId="6" borderId="9" xfId="1" applyNumberFormat="1" applyFont="1" applyFill="1" applyBorder="1" applyAlignment="1">
      <alignment horizontal="center"/>
    </xf>
    <xf numFmtId="9" fontId="8" fillId="6" borderId="10" xfId="1" applyNumberFormat="1" applyFont="1" applyFill="1" applyBorder="1" applyAlignment="1">
      <alignment horizontal="center"/>
    </xf>
    <xf numFmtId="0" fontId="6" fillId="6" borderId="9" xfId="1" applyFont="1" applyFill="1" applyBorder="1" applyAlignment="1">
      <alignment horizontal="center" vertical="center" wrapText="1"/>
    </xf>
    <xf numFmtId="1" fontId="10" fillId="7" borderId="9" xfId="1" applyNumberFormat="1" applyFont="1" applyFill="1" applyBorder="1" applyAlignment="1">
      <alignment horizontal="center"/>
    </xf>
    <xf numFmtId="0" fontId="7" fillId="10" borderId="2" xfId="1" applyFont="1" applyFill="1" applyBorder="1" applyAlignment="1">
      <alignment horizontal="center" vertical="center"/>
    </xf>
    <xf numFmtId="166" fontId="7" fillId="10" borderId="2" xfId="1" applyNumberFormat="1" applyFont="1" applyFill="1" applyBorder="1" applyAlignment="1">
      <alignment horizontal="center" vertical="center"/>
    </xf>
    <xf numFmtId="165" fontId="15" fillId="10" borderId="2" xfId="1" applyNumberFormat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vertical="center" wrapText="1"/>
    </xf>
    <xf numFmtId="0" fontId="22" fillId="6" borderId="4" xfId="1" applyFont="1" applyFill="1" applyBorder="1" applyAlignment="1">
      <alignment vertical="center" wrapText="1"/>
    </xf>
    <xf numFmtId="2" fontId="10" fillId="9" borderId="2" xfId="1" applyNumberFormat="1" applyFont="1" applyFill="1" applyBorder="1" applyAlignment="1">
      <alignment horizontal="center" vertical="center" wrapText="1"/>
    </xf>
    <xf numFmtId="9" fontId="7" fillId="9" borderId="2" xfId="1" applyNumberFormat="1" applyFont="1" applyFill="1" applyBorder="1" applyAlignment="1">
      <alignment horizontal="center" vertical="center" wrapText="1"/>
    </xf>
    <xf numFmtId="0" fontId="10" fillId="9" borderId="2" xfId="1" applyNumberFormat="1" applyFont="1" applyFill="1" applyBorder="1" applyAlignment="1">
      <alignment horizontal="center" vertical="center" wrapText="1"/>
    </xf>
    <xf numFmtId="2" fontId="10" fillId="7" borderId="2" xfId="1" applyNumberFormat="1" applyFont="1" applyFill="1" applyBorder="1" applyAlignment="1">
      <alignment horizontal="center" vertical="center" wrapText="1"/>
    </xf>
    <xf numFmtId="0" fontId="17" fillId="7" borderId="11" xfId="1" applyFont="1" applyFill="1" applyBorder="1" applyAlignment="1">
      <alignment horizontal="center" vertical="center" wrapText="1"/>
    </xf>
    <xf numFmtId="168" fontId="17" fillId="6" borderId="2" xfId="1" applyNumberFormat="1" applyFont="1" applyFill="1" applyBorder="1" applyAlignment="1">
      <alignment horizontal="center" vertical="center" wrapText="1"/>
    </xf>
    <xf numFmtId="9" fontId="7" fillId="7" borderId="2" xfId="1" applyNumberFormat="1" applyFont="1" applyFill="1" applyBorder="1" applyAlignment="1">
      <alignment horizontal="center" vertical="center" wrapText="1"/>
    </xf>
    <xf numFmtId="0" fontId="10" fillId="7" borderId="2" xfId="1" applyNumberFormat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center" vertical="center" textRotation="90" wrapText="1"/>
    </xf>
    <xf numFmtId="4" fontId="7" fillId="7" borderId="2" xfId="1" applyNumberFormat="1" applyFont="1" applyFill="1" applyBorder="1" applyAlignment="1">
      <alignment horizontal="center" vertical="center" wrapText="1"/>
    </xf>
    <xf numFmtId="4" fontId="7" fillId="8" borderId="2" xfId="1" applyNumberFormat="1" applyFont="1" applyFill="1" applyBorder="1" applyAlignment="1">
      <alignment horizontal="center" vertical="center" wrapText="1"/>
    </xf>
    <xf numFmtId="14" fontId="6" fillId="6" borderId="12" xfId="1" applyNumberFormat="1" applyFont="1" applyFill="1" applyBorder="1" applyAlignment="1">
      <alignment horizontal="center" vertical="center" wrapText="1"/>
    </xf>
    <xf numFmtId="14" fontId="6" fillId="9" borderId="2" xfId="1" applyNumberFormat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 wrapText="1"/>
    </xf>
    <xf numFmtId="2" fontId="10" fillId="5" borderId="2" xfId="1" applyNumberFormat="1" applyFont="1" applyFill="1" applyBorder="1" applyAlignment="1">
      <alignment horizontal="center" vertical="center" wrapText="1"/>
    </xf>
    <xf numFmtId="9" fontId="7" fillId="5" borderId="2" xfId="1" applyNumberFormat="1" applyFont="1" applyFill="1" applyBorder="1" applyAlignment="1">
      <alignment horizontal="center" vertical="center" wrapText="1"/>
    </xf>
    <xf numFmtId="0" fontId="10" fillId="5" borderId="2" xfId="1" applyNumberFormat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 wrapText="1"/>
    </xf>
    <xf numFmtId="14" fontId="6" fillId="7" borderId="6" xfId="1" applyNumberFormat="1" applyFont="1" applyFill="1" applyBorder="1" applyAlignment="1">
      <alignment horizontal="center" vertical="center"/>
    </xf>
    <xf numFmtId="4" fontId="10" fillId="7" borderId="2" xfId="1" applyNumberFormat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 wrapText="1"/>
    </xf>
    <xf numFmtId="14" fontId="13" fillId="6" borderId="2" xfId="1" applyNumberFormat="1" applyFont="1" applyFill="1" applyBorder="1" applyAlignment="1">
      <alignment horizontal="center" vertical="center" wrapText="1"/>
    </xf>
    <xf numFmtId="14" fontId="13" fillId="7" borderId="2" xfId="1" applyNumberFormat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center" vertical="center"/>
    </xf>
    <xf numFmtId="4" fontId="10" fillId="5" borderId="2" xfId="1" applyNumberFormat="1" applyFont="1" applyFill="1" applyBorder="1" applyAlignment="1">
      <alignment horizontal="center" vertical="center"/>
    </xf>
    <xf numFmtId="4" fontId="7" fillId="7" borderId="2" xfId="1" applyNumberFormat="1" applyFont="1" applyFill="1" applyBorder="1" applyAlignment="1">
      <alignment horizontal="center" vertical="center"/>
    </xf>
    <xf numFmtId="3" fontId="7" fillId="10" borderId="2" xfId="1" applyNumberFormat="1" applyFont="1" applyFill="1" applyBorder="1" applyAlignment="1">
      <alignment horizontal="center" vertical="center"/>
    </xf>
    <xf numFmtId="4" fontId="7" fillId="8" borderId="2" xfId="1" applyNumberFormat="1" applyFont="1" applyFill="1" applyBorder="1" applyAlignment="1">
      <alignment horizontal="center" vertical="center"/>
    </xf>
    <xf numFmtId="14" fontId="6" fillId="5" borderId="2" xfId="1" applyNumberFormat="1" applyFont="1" applyFill="1" applyBorder="1" applyAlignment="1">
      <alignment horizontal="center" vertical="center"/>
    </xf>
    <xf numFmtId="14" fontId="6" fillId="7" borderId="2" xfId="1" applyNumberFormat="1" applyFont="1" applyFill="1" applyBorder="1" applyAlignment="1">
      <alignment horizontal="center" vertical="center"/>
    </xf>
    <xf numFmtId="0" fontId="23" fillId="7" borderId="4" xfId="1" applyFont="1" applyFill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0" fontId="10" fillId="10" borderId="2" xfId="1" applyFont="1" applyFill="1" applyBorder="1" applyAlignment="1">
      <alignment horizontal="center" vertical="center"/>
    </xf>
    <xf numFmtId="0" fontId="8" fillId="5" borderId="0" xfId="1" applyFont="1" applyFill="1" applyAlignment="1">
      <alignment vertical="center"/>
    </xf>
    <xf numFmtId="2" fontId="7" fillId="10" borderId="2" xfId="1" applyNumberFormat="1" applyFont="1" applyFill="1" applyBorder="1" applyAlignment="1">
      <alignment horizontal="center" vertical="center"/>
    </xf>
    <xf numFmtId="1" fontId="7" fillId="10" borderId="2" xfId="1" applyNumberFormat="1" applyFont="1" applyFill="1" applyBorder="1" applyAlignment="1">
      <alignment horizontal="center" vertical="center"/>
    </xf>
    <xf numFmtId="3" fontId="6" fillId="7" borderId="2" xfId="1" applyNumberFormat="1" applyFont="1" applyFill="1" applyBorder="1" applyAlignment="1">
      <alignment horizontal="center" vertical="center"/>
    </xf>
    <xf numFmtId="0" fontId="6" fillId="6" borderId="2" xfId="1" applyNumberFormat="1" applyFont="1" applyFill="1" applyBorder="1" applyAlignment="1">
      <alignment horizontal="center" vertical="center"/>
    </xf>
    <xf numFmtId="0" fontId="6" fillId="5" borderId="2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textRotation="90" wrapText="1"/>
    </xf>
    <xf numFmtId="4" fontId="6" fillId="6" borderId="2" xfId="1" applyNumberFormat="1" applyFont="1" applyFill="1" applyBorder="1" applyAlignment="1">
      <alignment horizontal="center" vertical="center" wrapText="1"/>
    </xf>
    <xf numFmtId="0" fontId="6" fillId="6" borderId="2" xfId="2" applyNumberFormat="1" applyFont="1" applyFill="1" applyBorder="1" applyAlignment="1" applyProtection="1">
      <alignment horizontal="center" vertical="center" wrapText="1"/>
    </xf>
    <xf numFmtId="4" fontId="6" fillId="7" borderId="2" xfId="1" applyNumberFormat="1" applyFont="1" applyFill="1" applyBorder="1" applyAlignment="1">
      <alignment horizontal="center" vertical="center"/>
    </xf>
    <xf numFmtId="4" fontId="15" fillId="7" borderId="2" xfId="1" applyNumberFormat="1" applyFont="1" applyFill="1" applyBorder="1" applyAlignment="1">
      <alignment horizontal="center" vertical="center"/>
    </xf>
    <xf numFmtId="4" fontId="15" fillId="8" borderId="2" xfId="1" applyNumberFormat="1" applyFont="1" applyFill="1" applyBorder="1" applyAlignment="1">
      <alignment horizontal="center" vertical="center"/>
    </xf>
    <xf numFmtId="9" fontId="15" fillId="6" borderId="2" xfId="1" applyNumberFormat="1" applyFont="1" applyFill="1" applyBorder="1" applyAlignment="1">
      <alignment horizontal="center" vertical="center"/>
    </xf>
    <xf numFmtId="1" fontId="6" fillId="6" borderId="2" xfId="1" applyNumberFormat="1" applyFont="1" applyFill="1" applyBorder="1" applyAlignment="1">
      <alignment vertical="center" wrapText="1"/>
    </xf>
    <xf numFmtId="4" fontId="15" fillId="10" borderId="2" xfId="1" applyNumberFormat="1" applyFont="1" applyFill="1" applyBorder="1" applyAlignment="1">
      <alignment horizontal="center" vertical="center"/>
    </xf>
    <xf numFmtId="3" fontId="15" fillId="10" borderId="2" xfId="1" applyNumberFormat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2" fontId="7" fillId="7" borderId="13" xfId="1" applyNumberFormat="1" applyFont="1" applyFill="1" applyBorder="1" applyAlignment="1">
      <alignment horizontal="center" vertical="center"/>
    </xf>
    <xf numFmtId="169" fontId="7" fillId="7" borderId="13" xfId="22" applyNumberFormat="1" applyFont="1" applyFill="1" applyBorder="1" applyAlignment="1" applyProtection="1">
      <alignment horizontal="center" vertical="center"/>
    </xf>
    <xf numFmtId="4" fontId="7" fillId="7" borderId="13" xfId="1" applyNumberFormat="1" applyFont="1" applyFill="1" applyBorder="1" applyAlignment="1">
      <alignment horizontal="center" vertical="center"/>
    </xf>
    <xf numFmtId="9" fontId="9" fillId="6" borderId="13" xfId="19" applyFont="1" applyFill="1" applyBorder="1" applyAlignment="1">
      <alignment horizontal="center" vertical="center"/>
    </xf>
    <xf numFmtId="0" fontId="22" fillId="7" borderId="14" xfId="1" applyFont="1" applyFill="1" applyBorder="1" applyAlignment="1">
      <alignment horizontal="center" vertical="center"/>
    </xf>
    <xf numFmtId="0" fontId="5" fillId="7" borderId="0" xfId="1" applyFont="1" applyFill="1" applyAlignment="1">
      <alignment horizontal="center" vertical="center" textRotation="90"/>
    </xf>
    <xf numFmtId="0" fontId="5" fillId="7" borderId="0" xfId="1" applyFont="1" applyFill="1" applyAlignment="1">
      <alignment horizontal="center" vertical="center"/>
    </xf>
    <xf numFmtId="2" fontId="5" fillId="7" borderId="0" xfId="1" applyNumberFormat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 textRotation="90" wrapText="1"/>
    </xf>
    <xf numFmtId="1" fontId="5" fillId="7" borderId="0" xfId="1" applyNumberFormat="1" applyFont="1" applyFill="1" applyAlignment="1">
      <alignment horizontal="center" vertical="center"/>
    </xf>
    <xf numFmtId="1" fontId="5" fillId="8" borderId="0" xfId="1" applyNumberFormat="1" applyFont="1" applyFill="1" applyAlignment="1">
      <alignment horizontal="center" vertical="center"/>
    </xf>
    <xf numFmtId="0" fontId="5" fillId="7" borderId="0" xfId="1" applyFont="1" applyFill="1" applyAlignment="1">
      <alignment horizontal="center" vertical="center" wrapText="1"/>
    </xf>
    <xf numFmtId="0" fontId="1" fillId="6" borderId="0" xfId="1" applyFill="1" applyAlignment="1">
      <alignment horizontal="center" vertical="center"/>
    </xf>
    <xf numFmtId="0" fontId="1" fillId="6" borderId="0" xfId="1" applyFill="1" applyAlignment="1">
      <alignment vertical="center"/>
    </xf>
    <xf numFmtId="166" fontId="7" fillId="11" borderId="6" xfId="1" applyNumberFormat="1" applyFont="1" applyFill="1" applyBorder="1" applyAlignment="1">
      <alignment horizontal="center" vertical="center"/>
    </xf>
    <xf numFmtId="166" fontId="7" fillId="11" borderId="2" xfId="1" applyNumberFormat="1" applyFont="1" applyFill="1" applyBorder="1" applyAlignment="1">
      <alignment horizontal="center" vertical="center"/>
    </xf>
    <xf numFmtId="166" fontId="7" fillId="12" borderId="2" xfId="1" applyNumberFormat="1" applyFont="1" applyFill="1" applyBorder="1" applyAlignment="1">
      <alignment horizontal="center" vertical="center"/>
    </xf>
    <xf numFmtId="4" fontId="7" fillId="12" borderId="2" xfId="1" applyNumberFormat="1" applyFont="1" applyFill="1" applyBorder="1" applyAlignment="1">
      <alignment horizontal="center" vertical="center" wrapText="1"/>
    </xf>
    <xf numFmtId="4" fontId="7" fillId="11" borderId="2" xfId="1" applyNumberFormat="1" applyFont="1" applyFill="1" applyBorder="1" applyAlignment="1">
      <alignment horizontal="center" vertical="center"/>
    </xf>
    <xf numFmtId="4" fontId="7" fillId="13" borderId="2" xfId="1" applyNumberFormat="1" applyFont="1" applyFill="1" applyBorder="1" applyAlignment="1">
      <alignment horizontal="center" vertical="center" wrapText="1"/>
    </xf>
    <xf numFmtId="4" fontId="7" fillId="12" borderId="2" xfId="1" applyNumberFormat="1" applyFont="1" applyFill="1" applyBorder="1" applyAlignment="1">
      <alignment horizontal="center" vertical="center"/>
    </xf>
    <xf numFmtId="4" fontId="7" fillId="11" borderId="13" xfId="1" applyNumberFormat="1" applyFont="1" applyFill="1" applyBorder="1" applyAlignment="1">
      <alignment horizontal="center" vertical="center"/>
    </xf>
    <xf numFmtId="0" fontId="15" fillId="14" borderId="2" xfId="1" applyFont="1" applyFill="1" applyBorder="1" applyAlignment="1">
      <alignment horizontal="center" vertical="center"/>
    </xf>
    <xf numFmtId="166" fontId="7" fillId="14" borderId="2" xfId="1" applyNumberFormat="1" applyFont="1" applyFill="1" applyBorder="1" applyAlignment="1">
      <alignment horizontal="center" vertical="center"/>
    </xf>
    <xf numFmtId="166" fontId="7" fillId="15" borderId="2" xfId="1" applyNumberFormat="1" applyFont="1" applyFill="1" applyBorder="1" applyAlignment="1">
      <alignment horizontal="center" vertical="center"/>
    </xf>
    <xf numFmtId="0" fontId="7" fillId="14" borderId="2" xfId="1" applyFont="1" applyFill="1" applyBorder="1" applyAlignment="1">
      <alignment horizontal="center" vertical="center"/>
    </xf>
    <xf numFmtId="9" fontId="7" fillId="14" borderId="2" xfId="19" applyFont="1" applyFill="1" applyBorder="1" applyAlignment="1">
      <alignment horizontal="center" vertical="center"/>
    </xf>
    <xf numFmtId="0" fontId="22" fillId="14" borderId="4" xfId="1" applyFont="1" applyFill="1" applyBorder="1" applyAlignment="1">
      <alignment horizontal="center" vertical="center"/>
    </xf>
    <xf numFmtId="0" fontId="7" fillId="14" borderId="0" xfId="1" applyFont="1" applyFill="1"/>
    <xf numFmtId="4" fontId="7" fillId="14" borderId="2" xfId="1" applyNumberFormat="1" applyFont="1" applyFill="1" applyBorder="1" applyAlignment="1">
      <alignment horizontal="center" vertical="center"/>
    </xf>
    <xf numFmtId="4" fontId="7" fillId="15" borderId="2" xfId="1" applyNumberFormat="1" applyFont="1" applyFill="1" applyBorder="1" applyAlignment="1">
      <alignment horizontal="center" vertical="center"/>
    </xf>
    <xf numFmtId="0" fontId="18" fillId="14" borderId="0" xfId="1" applyFont="1" applyFill="1"/>
    <xf numFmtId="4" fontId="15" fillId="14" borderId="2" xfId="1" applyNumberFormat="1" applyFont="1" applyFill="1" applyBorder="1" applyAlignment="1">
      <alignment horizontal="center" vertical="center"/>
    </xf>
    <xf numFmtId="4" fontId="15" fillId="15" borderId="2" xfId="1" applyNumberFormat="1" applyFont="1" applyFill="1" applyBorder="1" applyAlignment="1">
      <alignment horizontal="center" vertical="center"/>
    </xf>
    <xf numFmtId="0" fontId="15" fillId="14" borderId="0" xfId="1" applyFont="1" applyFill="1"/>
    <xf numFmtId="9" fontId="12" fillId="5" borderId="6" xfId="19" applyFont="1" applyFill="1" applyBorder="1" applyAlignment="1">
      <alignment vertical="center"/>
    </xf>
    <xf numFmtId="9" fontId="12" fillId="5" borderId="15" xfId="19" applyFont="1" applyFill="1" applyBorder="1" applyAlignment="1">
      <alignment vertical="center"/>
    </xf>
    <xf numFmtId="9" fontId="12" fillId="5" borderId="12" xfId="19" applyFont="1" applyFill="1" applyBorder="1" applyAlignment="1">
      <alignment vertical="center"/>
    </xf>
    <xf numFmtId="49" fontId="6" fillId="16" borderId="2" xfId="1" applyNumberFormat="1" applyFont="1" applyFill="1" applyBorder="1" applyAlignment="1">
      <alignment horizontal="center" vertical="center" wrapText="1"/>
    </xf>
    <xf numFmtId="2" fontId="10" fillId="16" borderId="2" xfId="1" applyNumberFormat="1" applyFont="1" applyFill="1" applyBorder="1" applyAlignment="1">
      <alignment horizontal="center" vertical="center" wrapText="1"/>
    </xf>
    <xf numFmtId="0" fontId="6" fillId="16" borderId="2" xfId="1" applyFont="1" applyFill="1" applyBorder="1" applyAlignment="1">
      <alignment horizontal="center" vertical="center" wrapText="1"/>
    </xf>
    <xf numFmtId="0" fontId="16" fillId="16" borderId="16" xfId="0" applyFont="1" applyFill="1" applyBorder="1" applyAlignment="1">
      <alignment vertical="center"/>
    </xf>
    <xf numFmtId="9" fontId="7" fillId="16" borderId="2" xfId="1" applyNumberFormat="1" applyFont="1" applyFill="1" applyBorder="1" applyAlignment="1">
      <alignment horizontal="center" vertical="center" wrapText="1"/>
    </xf>
    <xf numFmtId="0" fontId="8" fillId="16" borderId="4" xfId="1" applyFont="1" applyFill="1" applyBorder="1" applyAlignment="1">
      <alignment horizontal="center" vertical="center"/>
    </xf>
    <xf numFmtId="49" fontId="6" fillId="17" borderId="2" xfId="1" applyNumberFormat="1" applyFont="1" applyFill="1" applyBorder="1" applyAlignment="1">
      <alignment horizontal="center" vertical="center" wrapText="1"/>
    </xf>
    <xf numFmtId="2" fontId="10" fillId="17" borderId="2" xfId="1" applyNumberFormat="1" applyFont="1" applyFill="1" applyBorder="1" applyAlignment="1">
      <alignment horizontal="center" vertical="center" wrapText="1"/>
    </xf>
    <xf numFmtId="14" fontId="6" fillId="17" borderId="2" xfId="1" applyNumberFormat="1" applyFont="1" applyFill="1" applyBorder="1" applyAlignment="1">
      <alignment horizontal="center" vertical="center" wrapText="1"/>
    </xf>
    <xf numFmtId="9" fontId="7" fillId="17" borderId="2" xfId="1" applyNumberFormat="1" applyFont="1" applyFill="1" applyBorder="1" applyAlignment="1">
      <alignment horizontal="center" vertical="center" wrapText="1"/>
    </xf>
    <xf numFmtId="0" fontId="8" fillId="17" borderId="4" xfId="1" applyFont="1" applyFill="1" applyBorder="1" applyAlignment="1">
      <alignment horizontal="center" vertical="center"/>
    </xf>
    <xf numFmtId="4" fontId="10" fillId="17" borderId="2" xfId="1" applyNumberFormat="1" applyFont="1" applyFill="1" applyBorder="1" applyAlignment="1">
      <alignment horizontal="center" vertical="center"/>
    </xf>
    <xf numFmtId="0" fontId="13" fillId="17" borderId="5" xfId="1" applyFont="1" applyFill="1" applyBorder="1" applyAlignment="1">
      <alignment horizontal="center" vertical="center" wrapText="1"/>
    </xf>
    <xf numFmtId="168" fontId="13" fillId="17" borderId="5" xfId="1" applyNumberFormat="1" applyFont="1" applyFill="1" applyBorder="1" applyAlignment="1">
      <alignment horizontal="center" vertical="center" wrapText="1"/>
    </xf>
    <xf numFmtId="9" fontId="7" fillId="17" borderId="2" xfId="1" applyNumberFormat="1" applyFont="1" applyFill="1" applyBorder="1" applyAlignment="1">
      <alignment horizontal="center" vertical="center"/>
    </xf>
    <xf numFmtId="0" fontId="6" fillId="17" borderId="2" xfId="1" applyFont="1" applyFill="1" applyBorder="1" applyAlignment="1">
      <alignment horizontal="center" vertical="center" wrapText="1"/>
    </xf>
    <xf numFmtId="14" fontId="6" fillId="17" borderId="2" xfId="1" applyNumberFormat="1" applyFont="1" applyFill="1" applyBorder="1" applyAlignment="1">
      <alignment horizontal="center" vertical="center"/>
    </xf>
    <xf numFmtId="14" fontId="15" fillId="17" borderId="2" xfId="1" applyNumberFormat="1" applyFont="1" applyFill="1" applyBorder="1" applyAlignment="1">
      <alignment horizontal="center" vertical="center"/>
    </xf>
    <xf numFmtId="0" fontId="6" fillId="18" borderId="2" xfId="1" applyFont="1" applyFill="1" applyBorder="1" applyAlignment="1">
      <alignment horizontal="center" vertical="center" wrapText="1"/>
    </xf>
    <xf numFmtId="14" fontId="6" fillId="18" borderId="2" xfId="1" applyNumberFormat="1" applyFont="1" applyFill="1" applyBorder="1" applyAlignment="1">
      <alignment horizontal="center" vertical="center"/>
    </xf>
    <xf numFmtId="9" fontId="7" fillId="18" borderId="2" xfId="1" applyNumberFormat="1" applyFont="1" applyFill="1" applyBorder="1" applyAlignment="1">
      <alignment horizontal="center" vertical="center"/>
    </xf>
    <xf numFmtId="14" fontId="11" fillId="17" borderId="2" xfId="1" applyNumberFormat="1" applyFont="1" applyFill="1" applyBorder="1" applyAlignment="1">
      <alignment horizontal="center" vertical="center" wrapText="1"/>
    </xf>
    <xf numFmtId="3" fontId="6" fillId="17" borderId="2" xfId="1" applyNumberFormat="1" applyFont="1" applyFill="1" applyBorder="1" applyAlignment="1">
      <alignment horizontal="center" vertical="center"/>
    </xf>
    <xf numFmtId="1" fontId="6" fillId="17" borderId="2" xfId="1" applyNumberFormat="1" applyFont="1" applyFill="1" applyBorder="1" applyAlignment="1">
      <alignment horizontal="center" vertical="center" wrapText="1"/>
    </xf>
    <xf numFmtId="14" fontId="10" fillId="17" borderId="2" xfId="1" applyNumberFormat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vertical="center" textRotation="90"/>
    </xf>
    <xf numFmtId="0" fontId="15" fillId="7" borderId="6" xfId="1" applyFont="1" applyFill="1" applyBorder="1" applyAlignment="1">
      <alignment horizontal="center" vertical="center"/>
    </xf>
    <xf numFmtId="4" fontId="7" fillId="7" borderId="6" xfId="1" applyNumberFormat="1" applyFont="1" applyFill="1" applyBorder="1" applyAlignment="1">
      <alignment horizontal="center" vertical="center"/>
    </xf>
    <xf numFmtId="0" fontId="5" fillId="7" borderId="0" xfId="1" applyFont="1" applyFill="1" applyBorder="1" applyAlignment="1">
      <alignment vertical="center" textRotation="90"/>
    </xf>
    <xf numFmtId="0" fontId="7" fillId="7" borderId="6" xfId="1" applyFont="1" applyFill="1" applyBorder="1" applyAlignment="1">
      <alignment horizontal="center" vertical="center"/>
    </xf>
    <xf numFmtId="0" fontId="10" fillId="6" borderId="17" xfId="1" applyFont="1" applyFill="1" applyBorder="1" applyAlignment="1">
      <alignment horizontal="center" vertical="center" textRotation="90" wrapText="1"/>
    </xf>
    <xf numFmtId="0" fontId="6" fillId="7" borderId="0" xfId="1" applyFont="1" applyFill="1" applyBorder="1" applyAlignment="1">
      <alignment vertical="center" textRotation="90"/>
    </xf>
    <xf numFmtId="166" fontId="6" fillId="6" borderId="2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166" fontId="6" fillId="7" borderId="2" xfId="1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left" vertical="center"/>
    </xf>
    <xf numFmtId="0" fontId="6" fillId="7" borderId="0" xfId="1" applyFont="1" applyFill="1" applyAlignment="1">
      <alignment horizontal="left" vertical="center"/>
    </xf>
    <xf numFmtId="165" fontId="6" fillId="7" borderId="0" xfId="1" applyNumberFormat="1" applyFont="1" applyFill="1" applyAlignment="1">
      <alignment horizontal="center" vertical="center"/>
    </xf>
    <xf numFmtId="0" fontId="6" fillId="7" borderId="9" xfId="1" applyFont="1" applyFill="1" applyBorder="1" applyAlignment="1">
      <alignment vertical="center" textRotation="90"/>
    </xf>
    <xf numFmtId="1" fontId="6" fillId="7" borderId="0" xfId="1" applyNumberFormat="1" applyFont="1" applyFill="1" applyAlignment="1">
      <alignment horizontal="center" vertical="center" textRotation="90"/>
    </xf>
    <xf numFmtId="0" fontId="6" fillId="7" borderId="0" xfId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 textRotation="90"/>
    </xf>
    <xf numFmtId="1" fontId="6" fillId="6" borderId="2" xfId="1" applyNumberFormat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/>
    </xf>
    <xf numFmtId="0" fontId="6" fillId="7" borderId="2" xfId="1" applyFont="1" applyFill="1" applyBorder="1" applyAlignment="1">
      <alignment horizontal="center" vertical="center"/>
    </xf>
    <xf numFmtId="4" fontId="6" fillId="7" borderId="12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/>
    </xf>
    <xf numFmtId="2" fontId="5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165" fontId="5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0" fontId="5" fillId="0" borderId="0" xfId="8" applyFont="1" applyFill="1" applyAlignment="1">
      <alignment horizontal="left" vertical="top"/>
    </xf>
    <xf numFmtId="0" fontId="5" fillId="0" borderId="0" xfId="8" applyFont="1" applyAlignment="1">
      <alignment horizontal="right" vertical="top"/>
    </xf>
    <xf numFmtId="0" fontId="1" fillId="6" borderId="0" xfId="1" applyFont="1" applyFill="1" applyAlignment="1">
      <alignment horizontal="center" vertical="center"/>
    </xf>
    <xf numFmtId="0" fontId="1" fillId="6" borderId="0" xfId="1" applyFont="1" applyFill="1" applyAlignment="1">
      <alignment vertical="center"/>
    </xf>
    <xf numFmtId="0" fontId="1" fillId="0" borderId="0" xfId="1" applyFont="1"/>
    <xf numFmtId="0" fontId="5" fillId="0" borderId="0" xfId="1" applyFont="1" applyFill="1" applyAlignment="1">
      <alignment horizontal="center" vertical="center" textRotation="90"/>
    </xf>
    <xf numFmtId="0" fontId="5" fillId="0" borderId="0" xfId="1" applyFont="1" applyFill="1" applyAlignment="1">
      <alignment horizontal="center" vertical="center" textRotation="90" wrapText="1"/>
    </xf>
    <xf numFmtId="1" fontId="5" fillId="0" borderId="0" xfId="1" applyNumberFormat="1" applyFont="1" applyFill="1" applyAlignment="1">
      <alignment horizontal="center" vertical="center" textRotation="90"/>
    </xf>
    <xf numFmtId="4" fontId="24" fillId="7" borderId="47" xfId="1" applyNumberFormat="1" applyFont="1" applyFill="1" applyBorder="1" applyAlignment="1">
      <alignment horizontal="left" vertical="center"/>
    </xf>
    <xf numFmtId="0" fontId="1" fillId="6" borderId="0" xfId="1" applyFont="1" applyFill="1" applyAlignment="1">
      <alignment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" fontId="5" fillId="0" borderId="11" xfId="1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textRotation="90" wrapText="1"/>
    </xf>
    <xf numFmtId="2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" fontId="5" fillId="0" borderId="26" xfId="1" applyNumberFormat="1" applyFont="1" applyFill="1" applyBorder="1" applyAlignment="1">
      <alignment horizontal="center" vertical="center" wrapText="1"/>
    </xf>
    <xf numFmtId="1" fontId="5" fillId="0" borderId="12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24" fillId="0" borderId="0" xfId="1" applyFont="1"/>
    <xf numFmtId="0" fontId="5" fillId="0" borderId="6" xfId="2" applyNumberFormat="1" applyFont="1" applyFill="1" applyBorder="1" applyAlignment="1" applyProtection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24" fillId="0" borderId="6" xfId="1" applyNumberFormat="1" applyFont="1" applyFill="1" applyBorder="1" applyAlignment="1">
      <alignment horizontal="center" vertical="center" wrapText="1"/>
    </xf>
    <xf numFmtId="166" fontId="5" fillId="0" borderId="11" xfId="1" applyNumberFormat="1" applyFont="1" applyFill="1" applyBorder="1" applyAlignment="1">
      <alignment horizontal="center" vertical="center" wrapText="1"/>
    </xf>
    <xf numFmtId="166" fontId="24" fillId="0" borderId="9" xfId="1" applyNumberFormat="1" applyFont="1" applyFill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 wrapText="1"/>
    </xf>
    <xf numFmtId="14" fontId="25" fillId="0" borderId="2" xfId="1" applyNumberFormat="1" applyFont="1" applyFill="1" applyBorder="1" applyAlignment="1">
      <alignment horizontal="center" vertical="center" wrapText="1"/>
    </xf>
    <xf numFmtId="167" fontId="5" fillId="0" borderId="2" xfId="1" applyNumberFormat="1" applyFont="1" applyFill="1" applyBorder="1" applyAlignment="1">
      <alignment horizontal="center" vertical="center" wrapText="1"/>
    </xf>
    <xf numFmtId="9" fontId="24" fillId="0" borderId="2" xfId="1" applyNumberFormat="1" applyFont="1" applyFill="1" applyBorder="1" applyAlignment="1">
      <alignment horizontal="center" vertical="center" wrapText="1"/>
    </xf>
    <xf numFmtId="9" fontId="24" fillId="0" borderId="6" xfId="19" applyFont="1" applyFill="1" applyBorder="1" applyAlignment="1">
      <alignment horizontal="center" vertical="center" wrapText="1"/>
    </xf>
    <xf numFmtId="9" fontId="5" fillId="0" borderId="4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5" fillId="0" borderId="51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166" fontId="24" fillId="0" borderId="15" xfId="1" applyNumberFormat="1" applyFont="1" applyFill="1" applyBorder="1" applyAlignment="1">
      <alignment horizontal="center" vertical="center" wrapText="1"/>
    </xf>
    <xf numFmtId="14" fontId="25" fillId="0" borderId="3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textRotation="90" wrapText="1"/>
    </xf>
    <xf numFmtId="0" fontId="5" fillId="0" borderId="6" xfId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 wrapText="1"/>
    </xf>
    <xf numFmtId="49" fontId="5" fillId="22" borderId="2" xfId="1" applyNumberFormat="1" applyFont="1" applyFill="1" applyBorder="1" applyAlignment="1">
      <alignment horizontal="center" vertical="center" wrapText="1"/>
    </xf>
    <xf numFmtId="167" fontId="5" fillId="0" borderId="6" xfId="1" applyNumberFormat="1" applyFont="1" applyFill="1" applyBorder="1" applyAlignment="1">
      <alignment horizontal="center" vertical="center" wrapText="1"/>
    </xf>
    <xf numFmtId="9" fontId="5" fillId="0" borderId="7" xfId="1" applyNumberFormat="1" applyFont="1" applyFill="1" applyBorder="1" applyAlignment="1">
      <alignment horizontal="center" vertical="center" wrapText="1"/>
    </xf>
    <xf numFmtId="9" fontId="24" fillId="0" borderId="12" xfId="19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9" fontId="24" fillId="0" borderId="6" xfId="1" applyNumberFormat="1" applyFont="1" applyFill="1" applyBorder="1" applyAlignment="1">
      <alignment horizontal="center" vertical="center" wrapText="1"/>
    </xf>
    <xf numFmtId="166" fontId="24" fillId="0" borderId="25" xfId="1" applyNumberFormat="1" applyFont="1" applyFill="1" applyBorder="1" applyAlignment="1">
      <alignment horizontal="center" vertical="center" wrapText="1"/>
    </xf>
    <xf numFmtId="166" fontId="24" fillId="0" borderId="2" xfId="1" applyNumberFormat="1" applyFont="1" applyFill="1" applyBorder="1" applyAlignment="1">
      <alignment horizontal="center" vertical="center" wrapText="1"/>
    </xf>
    <xf numFmtId="166" fontId="24" fillId="0" borderId="11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3" borderId="0" xfId="1" applyFont="1" applyFill="1" applyAlignment="1">
      <alignment horizontal="center"/>
    </xf>
    <xf numFmtId="4" fontId="5" fillId="3" borderId="0" xfId="1" applyNumberFormat="1" applyFont="1" applyFill="1" applyAlignment="1">
      <alignment horizontal="center"/>
    </xf>
    <xf numFmtId="166" fontId="5" fillId="0" borderId="6" xfId="1" applyNumberFormat="1" applyFont="1" applyFill="1" applyBorder="1" applyAlignment="1">
      <alignment horizontal="center" vertical="center" wrapText="1"/>
    </xf>
    <xf numFmtId="49" fontId="5" fillId="0" borderId="11" xfId="1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14" fontId="5" fillId="0" borderId="6" xfId="1" applyNumberFormat="1" applyFont="1" applyFill="1" applyBorder="1" applyAlignment="1">
      <alignment horizontal="center" vertical="center" wrapText="1"/>
    </xf>
    <xf numFmtId="166" fontId="5" fillId="0" borderId="12" xfId="1" applyNumberFormat="1" applyFont="1" applyFill="1" applyBorder="1" applyAlignment="1">
      <alignment horizontal="center" vertical="center" wrapText="1"/>
    </xf>
    <xf numFmtId="14" fontId="5" fillId="0" borderId="12" xfId="1" applyNumberFormat="1" applyFont="1" applyFill="1" applyBorder="1" applyAlignment="1">
      <alignment horizontal="center" vertical="center" wrapText="1"/>
    </xf>
    <xf numFmtId="4" fontId="5" fillId="2" borderId="0" xfId="1" applyNumberFormat="1" applyFont="1" applyFill="1" applyAlignment="1">
      <alignment horizontal="center"/>
    </xf>
    <xf numFmtId="166" fontId="5" fillId="22" borderId="6" xfId="1" applyNumberFormat="1" applyFont="1" applyFill="1" applyBorder="1" applyAlignment="1">
      <alignment horizontal="center" vertical="center" wrapText="1"/>
    </xf>
    <xf numFmtId="14" fontId="5" fillId="0" borderId="9" xfId="1" applyNumberFormat="1" applyFont="1" applyFill="1" applyBorder="1" applyAlignment="1">
      <alignment horizontal="center" vertical="center" wrapText="1"/>
    </xf>
    <xf numFmtId="1" fontId="5" fillId="0" borderId="54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4" fontId="5" fillId="0" borderId="0" xfId="1" applyNumberFormat="1" applyFont="1" applyFill="1" applyAlignment="1">
      <alignment horizontal="center"/>
    </xf>
    <xf numFmtId="14" fontId="25" fillId="0" borderId="26" xfId="1" applyNumberFormat="1" applyFont="1" applyFill="1" applyBorder="1" applyAlignment="1">
      <alignment horizontal="center" vertical="center" wrapText="1"/>
    </xf>
    <xf numFmtId="166" fontId="5" fillId="0" borderId="54" xfId="1" applyNumberFormat="1" applyFont="1" applyFill="1" applyBorder="1" applyAlignment="1">
      <alignment horizontal="center" vertical="center" wrapText="1"/>
    </xf>
    <xf numFmtId="166" fontId="5" fillId="0" borderId="56" xfId="1" applyNumberFormat="1" applyFont="1" applyFill="1" applyBorder="1" applyAlignment="1">
      <alignment horizontal="center" vertical="center" wrapText="1"/>
    </xf>
    <xf numFmtId="166" fontId="5" fillId="0" borderId="25" xfId="1" applyNumberFormat="1" applyFont="1" applyFill="1" applyBorder="1" applyAlignment="1">
      <alignment horizontal="center" vertical="center" wrapText="1"/>
    </xf>
    <xf numFmtId="1" fontId="5" fillId="0" borderId="3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14" fontId="25" fillId="0" borderId="6" xfId="1" applyNumberFormat="1" applyFont="1" applyFill="1" applyBorder="1" applyAlignment="1">
      <alignment horizontal="center" vertical="center" wrapText="1"/>
    </xf>
    <xf numFmtId="14" fontId="26" fillId="0" borderId="9" xfId="1" applyNumberFormat="1" applyFont="1" applyFill="1" applyBorder="1" applyAlignment="1">
      <alignment horizontal="center" vertical="center" wrapText="1"/>
    </xf>
    <xf numFmtId="0" fontId="5" fillId="5" borderId="0" xfId="1" applyFont="1" applyFill="1" applyAlignment="1">
      <alignment horizontal="center"/>
    </xf>
    <xf numFmtId="4" fontId="5" fillId="0" borderId="2" xfId="2" applyNumberFormat="1" applyFont="1" applyFill="1" applyBorder="1" applyAlignment="1" applyProtection="1">
      <alignment horizontal="center" vertical="center" wrapText="1"/>
    </xf>
    <xf numFmtId="166" fontId="5" fillId="0" borderId="9" xfId="1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14" fontId="25" fillId="0" borderId="12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" fontId="5" fillId="0" borderId="3" xfId="1" applyNumberFormat="1" applyFont="1" applyFill="1" applyBorder="1" applyAlignment="1">
      <alignment horizontal="center" vertical="center" wrapText="1"/>
    </xf>
    <xf numFmtId="1" fontId="5" fillId="0" borderId="17" xfId="1" applyNumberFormat="1" applyFont="1" applyFill="1" applyBorder="1" applyAlignment="1">
      <alignment horizontal="center" vertical="center" wrapText="1"/>
    </xf>
    <xf numFmtId="1" fontId="5" fillId="0" borderId="55" xfId="1" applyNumberFormat="1" applyFont="1" applyFill="1" applyBorder="1" applyAlignment="1">
      <alignment horizontal="center" vertical="center" wrapText="1"/>
    </xf>
    <xf numFmtId="14" fontId="25" fillId="0" borderId="9" xfId="1" applyNumberFormat="1" applyFont="1" applyFill="1" applyBorder="1" applyAlignment="1">
      <alignment horizontal="center" vertical="center" wrapText="1"/>
    </xf>
    <xf numFmtId="9" fontId="24" fillId="0" borderId="2" xfId="19" applyFont="1" applyFill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vertical="center" wrapText="1"/>
    </xf>
    <xf numFmtId="14" fontId="26" fillId="0" borderId="9" xfId="1" applyNumberFormat="1" applyFont="1" applyFill="1" applyBorder="1" applyAlignment="1">
      <alignment vertical="center" wrapText="1"/>
    </xf>
    <xf numFmtId="1" fontId="5" fillId="0" borderId="12" xfId="1" applyNumberFormat="1" applyFont="1" applyFill="1" applyBorder="1" applyAlignment="1">
      <alignment vertical="center" wrapText="1"/>
    </xf>
    <xf numFmtId="14" fontId="26" fillId="0" borderId="12" xfId="1" applyNumberFormat="1" applyFont="1" applyFill="1" applyBorder="1" applyAlignment="1">
      <alignment vertical="center" wrapText="1"/>
    </xf>
    <xf numFmtId="1" fontId="25" fillId="0" borderId="11" xfId="1" applyNumberFormat="1" applyFont="1" applyFill="1" applyBorder="1" applyAlignment="1">
      <alignment horizontal="center" vertical="center" wrapText="1"/>
    </xf>
    <xf numFmtId="0" fontId="27" fillId="0" borderId="11" xfId="1" applyFont="1" applyFill="1" applyBorder="1" applyAlignment="1">
      <alignment horizontal="center" vertical="center" wrapText="1"/>
    </xf>
    <xf numFmtId="1" fontId="24" fillId="0" borderId="2" xfId="19" applyNumberFormat="1" applyFont="1" applyFill="1" applyBorder="1" applyAlignment="1" applyProtection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1" fontId="5" fillId="0" borderId="2" xfId="19" applyNumberFormat="1" applyFont="1" applyFill="1" applyBorder="1" applyAlignment="1" applyProtection="1">
      <alignment horizontal="center" vertical="center" wrapText="1"/>
    </xf>
    <xf numFmtId="9" fontId="5" fillId="0" borderId="9" xfId="1" applyNumberFormat="1" applyFont="1" applyFill="1" applyBorder="1" applyAlignment="1">
      <alignment vertical="center" wrapText="1"/>
    </xf>
    <xf numFmtId="0" fontId="24" fillId="0" borderId="2" xfId="1" applyFont="1" applyFill="1" applyBorder="1" applyAlignment="1">
      <alignment horizontal="center" vertical="center" wrapText="1"/>
    </xf>
    <xf numFmtId="165" fontId="24" fillId="0" borderId="2" xfId="1" applyNumberFormat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24" fillId="14" borderId="0" xfId="1" applyFont="1" applyFill="1"/>
    <xf numFmtId="0" fontId="24" fillId="0" borderId="2" xfId="1" applyFont="1" applyFill="1" applyBorder="1" applyAlignment="1">
      <alignment vertical="center" wrapText="1"/>
    </xf>
    <xf numFmtId="0" fontId="24" fillId="0" borderId="4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horizontal="center" vertical="center" textRotation="90" wrapText="1"/>
    </xf>
    <xf numFmtId="49" fontId="5" fillId="0" borderId="6" xfId="1" applyNumberFormat="1" applyFont="1" applyFill="1" applyBorder="1" applyAlignment="1">
      <alignment horizontal="center" vertical="center" wrapText="1"/>
    </xf>
    <xf numFmtId="4" fontId="24" fillId="0" borderId="6" xfId="1" applyNumberFormat="1" applyFont="1" applyFill="1" applyBorder="1" applyAlignment="1">
      <alignment horizontal="center" vertical="center" wrapText="1"/>
    </xf>
    <xf numFmtId="0" fontId="25" fillId="0" borderId="9" xfId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0" xfId="1" applyFont="1"/>
    <xf numFmtId="4" fontId="24" fillId="0" borderId="15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textRotation="90" wrapText="1"/>
    </xf>
    <xf numFmtId="0" fontId="5" fillId="0" borderId="11" xfId="1" applyNumberFormat="1" applyFont="1" applyFill="1" applyBorder="1" applyAlignment="1">
      <alignment horizontal="center" vertical="center" wrapText="1"/>
    </xf>
    <xf numFmtId="9" fontId="24" fillId="0" borderId="9" xfId="19" applyFont="1" applyFill="1" applyBorder="1" applyAlignment="1">
      <alignment horizontal="center" vertical="center" wrapText="1"/>
    </xf>
    <xf numFmtId="4" fontId="24" fillId="0" borderId="12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24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14" fontId="26" fillId="0" borderId="2" xfId="1" applyNumberFormat="1" applyFont="1" applyFill="1" applyBorder="1" applyAlignment="1">
      <alignment horizontal="center" vertical="center" wrapText="1"/>
    </xf>
    <xf numFmtId="0" fontId="5" fillId="0" borderId="0" xfId="1" applyFont="1" applyFill="1"/>
    <xf numFmtId="3" fontId="24" fillId="0" borderId="2" xfId="1" applyNumberFormat="1" applyFont="1" applyFill="1" applyBorder="1" applyAlignment="1">
      <alignment horizontal="center" vertical="center" wrapText="1"/>
    </xf>
    <xf numFmtId="4" fontId="24" fillId="0" borderId="2" xfId="1" applyNumberFormat="1" applyFont="1" applyFill="1" applyBorder="1" applyAlignment="1">
      <alignment horizontal="center" vertical="center" wrapText="1"/>
    </xf>
    <xf numFmtId="4" fontId="24" fillId="0" borderId="9" xfId="1" applyNumberFormat="1" applyFont="1" applyFill="1" applyBorder="1" applyAlignment="1">
      <alignment horizontal="center" vertical="center" wrapText="1"/>
    </xf>
    <xf numFmtId="14" fontId="24" fillId="0" borderId="2" xfId="1" applyNumberFormat="1" applyFont="1" applyFill="1" applyBorder="1" applyAlignment="1">
      <alignment horizontal="center" vertical="center" wrapText="1"/>
    </xf>
    <xf numFmtId="4" fontId="24" fillId="0" borderId="15" xfId="1" applyNumberFormat="1" applyFont="1" applyFill="1" applyBorder="1" applyAlignment="1">
      <alignment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4" fontId="5" fillId="22" borderId="2" xfId="1" applyNumberFormat="1" applyFont="1" applyFill="1" applyBorder="1" applyAlignment="1">
      <alignment horizontal="center" vertical="center" wrapText="1"/>
    </xf>
    <xf numFmtId="4" fontId="24" fillId="0" borderId="17" xfId="1" applyNumberFormat="1" applyFont="1" applyFill="1" applyBorder="1" applyAlignment="1">
      <alignment horizontal="center" vertical="center" wrapText="1"/>
    </xf>
    <xf numFmtId="4" fontId="24" fillId="0" borderId="31" xfId="1" applyNumberFormat="1" applyFont="1" applyFill="1" applyBorder="1" applyAlignment="1">
      <alignment horizontal="center" vertical="center" wrapText="1"/>
    </xf>
    <xf numFmtId="4" fontId="5" fillId="2" borderId="0" xfId="1" applyNumberFormat="1" applyFont="1" applyFill="1"/>
    <xf numFmtId="0" fontId="5" fillId="22" borderId="2" xfId="1" applyFont="1" applyFill="1" applyBorder="1" applyAlignment="1">
      <alignment horizontal="center" vertical="center" wrapText="1"/>
    </xf>
    <xf numFmtId="4" fontId="24" fillId="0" borderId="0" xfId="1" applyNumberFormat="1" applyFont="1" applyFill="1" applyBorder="1" applyAlignment="1">
      <alignment horizontal="center" vertical="center" wrapText="1"/>
    </xf>
    <xf numFmtId="4" fontId="24" fillId="0" borderId="24" xfId="1" applyNumberFormat="1" applyFont="1" applyFill="1" applyBorder="1" applyAlignment="1">
      <alignment horizontal="center" vertical="center" wrapText="1"/>
    </xf>
    <xf numFmtId="2" fontId="24" fillId="0" borderId="2" xfId="1" applyNumberFormat="1" applyFont="1" applyFill="1" applyBorder="1" applyAlignment="1">
      <alignment horizontal="center" vertical="center" wrapText="1"/>
    </xf>
    <xf numFmtId="1" fontId="24" fillId="0" borderId="2" xfId="1" applyNumberFormat="1" applyFont="1" applyFill="1" applyBorder="1" applyAlignment="1">
      <alignment horizontal="center" vertical="center" wrapText="1"/>
    </xf>
    <xf numFmtId="0" fontId="28" fillId="14" borderId="0" xfId="1" applyFont="1" applyFill="1"/>
    <xf numFmtId="14" fontId="5" fillId="4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4" fontId="5" fillId="0" borderId="0" xfId="1" applyNumberFormat="1" applyFont="1" applyFill="1"/>
    <xf numFmtId="0" fontId="5" fillId="0" borderId="9" xfId="1" applyFont="1" applyFill="1" applyBorder="1" applyAlignment="1">
      <alignment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49" fontId="5" fillId="22" borderId="6" xfId="1" applyNumberFormat="1" applyFont="1" applyFill="1" applyBorder="1" applyAlignment="1">
      <alignment horizontal="center" vertical="center" wrapText="1"/>
    </xf>
    <xf numFmtId="0" fontId="24" fillId="0" borderId="6" xfId="1" applyFont="1" applyFill="1" applyBorder="1" applyAlignment="1">
      <alignment horizontal="center" vertical="center" wrapText="1"/>
    </xf>
    <xf numFmtId="3" fontId="24" fillId="0" borderId="6" xfId="1" applyNumberFormat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0" fontId="24" fillId="0" borderId="84" xfId="1" applyFont="1" applyFill="1" applyBorder="1" applyAlignment="1">
      <alignment horizontal="center" vertical="center" wrapText="1"/>
    </xf>
    <xf numFmtId="2" fontId="24" fillId="0" borderId="84" xfId="1" applyNumberFormat="1" applyFont="1" applyFill="1" applyBorder="1" applyAlignment="1">
      <alignment horizontal="center" vertical="center" wrapText="1"/>
    </xf>
    <xf numFmtId="169" fontId="24" fillId="0" borderId="84" xfId="22" applyNumberFormat="1" applyFont="1" applyFill="1" applyBorder="1" applyAlignment="1" applyProtection="1">
      <alignment horizontal="center" vertical="center" wrapText="1"/>
    </xf>
    <xf numFmtId="4" fontId="24" fillId="0" borderId="84" xfId="1" applyNumberFormat="1" applyFont="1" applyFill="1" applyBorder="1" applyAlignment="1">
      <alignment horizontal="center" vertical="center" wrapText="1"/>
    </xf>
    <xf numFmtId="9" fontId="24" fillId="0" borderId="84" xfId="19" applyFont="1" applyFill="1" applyBorder="1" applyAlignment="1">
      <alignment horizontal="center" vertical="center" wrapText="1"/>
    </xf>
    <xf numFmtId="0" fontId="24" fillId="0" borderId="85" xfId="1" applyFont="1" applyFill="1" applyBorder="1" applyAlignment="1">
      <alignment horizontal="center" vertical="center" wrapText="1"/>
    </xf>
    <xf numFmtId="0" fontId="24" fillId="0" borderId="0" xfId="1" applyFont="1" applyFill="1"/>
    <xf numFmtId="0" fontId="5" fillId="7" borderId="0" xfId="1" applyFont="1" applyFill="1" applyAlignment="1">
      <alignment horizontal="left" vertical="center"/>
    </xf>
    <xf numFmtId="0" fontId="5" fillId="23" borderId="0" xfId="1" applyFont="1" applyFill="1" applyBorder="1" applyAlignment="1">
      <alignment vertical="center" textRotation="90"/>
    </xf>
    <xf numFmtId="0" fontId="5" fillId="7" borderId="0" xfId="1" applyFont="1" applyFill="1" applyAlignment="1">
      <alignment horizontal="center" vertical="center" textRotation="90" wrapText="1"/>
    </xf>
    <xf numFmtId="165" fontId="5" fillId="7" borderId="0" xfId="1" applyNumberFormat="1" applyFont="1" applyFill="1" applyAlignment="1">
      <alignment horizontal="center" vertical="center"/>
    </xf>
    <xf numFmtId="165" fontId="5" fillId="23" borderId="0" xfId="1" applyNumberFormat="1" applyFont="1" applyFill="1" applyAlignment="1">
      <alignment horizontal="center" vertical="center"/>
    </xf>
    <xf numFmtId="1" fontId="5" fillId="23" borderId="0" xfId="1" applyNumberFormat="1" applyFont="1" applyFill="1" applyAlignment="1">
      <alignment horizontal="center" vertical="center"/>
    </xf>
    <xf numFmtId="1" fontId="5" fillId="7" borderId="0" xfId="1" applyNumberFormat="1" applyFont="1" applyFill="1" applyAlignment="1">
      <alignment horizontal="center" vertical="center" textRotation="90"/>
    </xf>
    <xf numFmtId="9" fontId="12" fillId="6" borderId="6" xfId="19" applyFont="1" applyFill="1" applyBorder="1" applyAlignment="1">
      <alignment horizontal="center" vertical="center"/>
    </xf>
    <xf numFmtId="9" fontId="12" fillId="6" borderId="15" xfId="19" applyFont="1" applyFill="1" applyBorder="1" applyAlignment="1">
      <alignment horizontal="center" vertical="center"/>
    </xf>
    <xf numFmtId="9" fontId="12" fillId="6" borderId="12" xfId="19" applyFont="1" applyFill="1" applyBorder="1" applyAlignment="1">
      <alignment horizontal="center" vertical="center"/>
    </xf>
    <xf numFmtId="0" fontId="15" fillId="14" borderId="1" xfId="1" applyFont="1" applyFill="1" applyBorder="1" applyAlignment="1">
      <alignment horizontal="left" vertical="center" wrapText="1"/>
    </xf>
    <xf numFmtId="0" fontId="7" fillId="0" borderId="1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5" fillId="6" borderId="20" xfId="1" applyFont="1" applyFill="1" applyBorder="1" applyAlignment="1">
      <alignment horizontal="center" vertical="center"/>
    </xf>
    <xf numFmtId="3" fontId="6" fillId="7" borderId="21" xfId="1" applyNumberFormat="1" applyFont="1" applyFill="1" applyBorder="1" applyAlignment="1">
      <alignment horizontal="center" vertical="center" wrapText="1"/>
    </xf>
    <xf numFmtId="3" fontId="6" fillId="7" borderId="22" xfId="1" applyNumberFormat="1" applyFont="1" applyFill="1" applyBorder="1" applyAlignment="1">
      <alignment horizontal="center" vertical="center" wrapText="1"/>
    </xf>
    <xf numFmtId="3" fontId="6" fillId="7" borderId="23" xfId="1" applyNumberFormat="1" applyFont="1" applyFill="1" applyBorder="1" applyAlignment="1">
      <alignment horizontal="center" vertical="center" wrapText="1"/>
    </xf>
    <xf numFmtId="3" fontId="6" fillId="7" borderId="24" xfId="1" applyNumberFormat="1" applyFont="1" applyFill="1" applyBorder="1" applyAlignment="1">
      <alignment horizontal="center" vertical="center" wrapText="1"/>
    </xf>
    <xf numFmtId="3" fontId="6" fillId="7" borderId="25" xfId="1" applyNumberFormat="1" applyFont="1" applyFill="1" applyBorder="1" applyAlignment="1">
      <alignment horizontal="center" vertical="center" wrapText="1"/>
    </xf>
    <xf numFmtId="3" fontId="6" fillId="7" borderId="26" xfId="1" applyNumberFormat="1" applyFont="1" applyFill="1" applyBorder="1" applyAlignment="1">
      <alignment horizontal="center" vertical="center" wrapText="1"/>
    </xf>
    <xf numFmtId="4" fontId="15" fillId="7" borderId="2" xfId="1" applyNumberFormat="1" applyFont="1" applyFill="1" applyBorder="1" applyAlignment="1">
      <alignment horizontal="center" vertical="center"/>
    </xf>
    <xf numFmtId="4" fontId="15" fillId="11" borderId="2" xfId="1" applyNumberFormat="1" applyFont="1" applyFill="1" applyBorder="1" applyAlignment="1">
      <alignment horizontal="center" vertical="center"/>
    </xf>
    <xf numFmtId="1" fontId="6" fillId="6" borderId="2" xfId="1" applyNumberFormat="1" applyFont="1" applyFill="1" applyBorder="1" applyAlignment="1">
      <alignment horizontal="center" vertical="center" wrapText="1"/>
    </xf>
    <xf numFmtId="14" fontId="6" fillId="7" borderId="2" xfId="1" applyNumberFormat="1" applyFont="1" applyFill="1" applyBorder="1" applyAlignment="1">
      <alignment horizontal="center" vertical="center"/>
    </xf>
    <xf numFmtId="167" fontId="6" fillId="6" borderId="2" xfId="1" applyNumberFormat="1" applyFont="1" applyFill="1" applyBorder="1" applyAlignment="1">
      <alignment horizontal="center" vertical="center" wrapText="1"/>
    </xf>
    <xf numFmtId="9" fontId="12" fillId="19" borderId="15" xfId="19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textRotation="90" wrapText="1"/>
    </xf>
    <xf numFmtId="0" fontId="6" fillId="7" borderId="2" xfId="1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/>
    </xf>
    <xf numFmtId="4" fontId="6" fillId="6" borderId="2" xfId="1" applyNumberFormat="1" applyFont="1" applyFill="1" applyBorder="1" applyAlignment="1">
      <alignment horizontal="center" vertical="center" wrapText="1"/>
    </xf>
    <xf numFmtId="0" fontId="6" fillId="6" borderId="2" xfId="2" applyNumberFormat="1" applyFont="1" applyFill="1" applyBorder="1" applyAlignment="1" applyProtection="1">
      <alignment horizontal="center" vertical="center" wrapText="1"/>
    </xf>
    <xf numFmtId="4" fontId="15" fillId="18" borderId="2" xfId="1" applyNumberFormat="1" applyFont="1" applyFill="1" applyBorder="1" applyAlignment="1">
      <alignment horizontal="center" vertical="center"/>
    </xf>
    <xf numFmtId="4" fontId="15" fillId="20" borderId="2" xfId="1" applyNumberFormat="1" applyFont="1" applyFill="1" applyBorder="1" applyAlignment="1">
      <alignment horizontal="center" vertical="center"/>
    </xf>
    <xf numFmtId="14" fontId="6" fillId="7" borderId="2" xfId="1" applyNumberFormat="1" applyFont="1" applyFill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9" fontId="12" fillId="19" borderId="2" xfId="19" applyFont="1" applyFill="1" applyBorder="1" applyAlignment="1">
      <alignment horizontal="center" vertical="center"/>
    </xf>
    <xf numFmtId="9" fontId="12" fillId="6" borderId="2" xfId="19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wrapText="1"/>
    </xf>
    <xf numFmtId="14" fontId="6" fillId="5" borderId="2" xfId="1" applyNumberFormat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4" fontId="7" fillId="17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12" borderId="2" xfId="1" applyNumberFormat="1" applyFont="1" applyFill="1" applyBorder="1" applyAlignment="1">
      <alignment horizontal="center" vertical="center"/>
    </xf>
    <xf numFmtId="14" fontId="6" fillId="6" borderId="2" xfId="1" applyNumberFormat="1" applyFont="1" applyFill="1" applyBorder="1" applyAlignment="1">
      <alignment horizontal="center" vertical="center"/>
    </xf>
    <xf numFmtId="4" fontId="7" fillId="7" borderId="2" xfId="1" applyNumberFormat="1" applyFont="1" applyFill="1" applyBorder="1" applyAlignment="1">
      <alignment horizontal="center" vertical="center"/>
    </xf>
    <xf numFmtId="4" fontId="7" fillId="11" borderId="2" xfId="1" applyNumberFormat="1" applyFont="1" applyFill="1" applyBorder="1" applyAlignment="1">
      <alignment horizontal="center" vertical="center"/>
    </xf>
    <xf numFmtId="4" fontId="7" fillId="18" borderId="2" xfId="1" applyNumberFormat="1" applyFont="1" applyFill="1" applyBorder="1" applyAlignment="1">
      <alignment horizontal="center" vertical="center"/>
    </xf>
    <xf numFmtId="4" fontId="7" fillId="20" borderId="2" xfId="1" applyNumberFormat="1" applyFont="1" applyFill="1" applyBorder="1" applyAlignment="1">
      <alignment horizontal="center" vertical="center"/>
    </xf>
    <xf numFmtId="0" fontId="10" fillId="7" borderId="2" xfId="1" applyFont="1" applyFill="1" applyBorder="1" applyAlignment="1">
      <alignment horizontal="center" vertical="center" textRotation="90" wrapText="1"/>
    </xf>
    <xf numFmtId="167" fontId="10" fillId="6" borderId="2" xfId="1" applyNumberFormat="1" applyFont="1" applyFill="1" applyBorder="1" applyAlignment="1">
      <alignment horizontal="center" vertical="center" wrapText="1"/>
    </xf>
    <xf numFmtId="4" fontId="7" fillId="18" borderId="2" xfId="1" applyNumberFormat="1" applyFont="1" applyFill="1" applyBorder="1" applyAlignment="1">
      <alignment horizontal="center" vertical="center" wrapText="1"/>
    </xf>
    <xf numFmtId="4" fontId="7" fillId="7" borderId="2" xfId="1" applyNumberFormat="1" applyFont="1" applyFill="1" applyBorder="1" applyAlignment="1">
      <alignment horizontal="center" vertical="center" wrapText="1"/>
    </xf>
    <xf numFmtId="4" fontId="7" fillId="20" borderId="2" xfId="1" applyNumberFormat="1" applyFont="1" applyFill="1" applyBorder="1" applyAlignment="1">
      <alignment horizontal="center" vertical="center" wrapText="1"/>
    </xf>
    <xf numFmtId="4" fontId="7" fillId="11" borderId="2" xfId="1" applyNumberFormat="1" applyFont="1" applyFill="1" applyBorder="1" applyAlignment="1">
      <alignment horizontal="center" vertical="center" wrapText="1"/>
    </xf>
    <xf numFmtId="14" fontId="6" fillId="6" borderId="2" xfId="1" applyNumberFormat="1" applyFont="1" applyFill="1" applyBorder="1" applyAlignment="1">
      <alignment horizontal="center" vertical="center" wrapText="1"/>
    </xf>
    <xf numFmtId="4" fontId="7" fillId="13" borderId="2" xfId="1" applyNumberFormat="1" applyFont="1" applyFill="1" applyBorder="1" applyAlignment="1">
      <alignment horizontal="center" vertical="center" wrapText="1"/>
    </xf>
    <xf numFmtId="0" fontId="6" fillId="18" borderId="2" xfId="1" applyFont="1" applyFill="1" applyBorder="1" applyAlignment="1">
      <alignment horizontal="center" vertical="center" wrapText="1"/>
    </xf>
    <xf numFmtId="14" fontId="11" fillId="7" borderId="2" xfId="1" applyNumberFormat="1" applyFont="1" applyFill="1" applyBorder="1" applyAlignment="1">
      <alignment horizontal="center" vertical="center" wrapText="1"/>
    </xf>
    <xf numFmtId="14" fontId="11" fillId="18" borderId="2" xfId="1" applyNumberFormat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 wrapText="1"/>
    </xf>
    <xf numFmtId="4" fontId="7" fillId="12" borderId="2" xfId="1" applyNumberFormat="1" applyFont="1" applyFill="1" applyBorder="1" applyAlignment="1">
      <alignment horizontal="center" vertical="center" wrapText="1"/>
    </xf>
    <xf numFmtId="0" fontId="11" fillId="7" borderId="2" xfId="1" applyFont="1" applyFill="1" applyBorder="1" applyAlignment="1">
      <alignment horizontal="center" vertical="center" wrapText="1"/>
    </xf>
    <xf numFmtId="14" fontId="6" fillId="7" borderId="12" xfId="1" applyNumberFormat="1" applyFont="1" applyFill="1" applyBorder="1" applyAlignment="1">
      <alignment horizontal="center" vertical="center" wrapText="1"/>
    </xf>
    <xf numFmtId="14" fontId="6" fillId="6" borderId="27" xfId="1" applyNumberFormat="1" applyFont="1" applyFill="1" applyBorder="1" applyAlignment="1">
      <alignment horizontal="center" vertical="center" wrapText="1"/>
    </xf>
    <xf numFmtId="14" fontId="6" fillId="6" borderId="28" xfId="1" applyNumberFormat="1" applyFont="1" applyFill="1" applyBorder="1" applyAlignment="1">
      <alignment horizontal="center" vertical="center" wrapText="1"/>
    </xf>
    <xf numFmtId="14" fontId="6" fillId="6" borderId="29" xfId="1" applyNumberFormat="1" applyFont="1" applyFill="1" applyBorder="1" applyAlignment="1">
      <alignment horizontal="center" vertical="center" wrapText="1"/>
    </xf>
    <xf numFmtId="167" fontId="10" fillId="6" borderId="9" xfId="1" applyNumberFormat="1" applyFont="1" applyFill="1" applyBorder="1" applyAlignment="1">
      <alignment horizontal="center" vertical="center" wrapText="1"/>
    </xf>
    <xf numFmtId="9" fontId="12" fillId="6" borderId="9" xfId="19" applyFont="1" applyFill="1" applyBorder="1" applyAlignment="1">
      <alignment horizontal="center" vertical="center"/>
    </xf>
    <xf numFmtId="4" fontId="10" fillId="6" borderId="9" xfId="1" applyNumberFormat="1" applyFont="1" applyFill="1" applyBorder="1" applyAlignment="1">
      <alignment horizontal="center" vertical="center" wrapText="1"/>
    </xf>
    <xf numFmtId="0" fontId="10" fillId="6" borderId="9" xfId="2" applyNumberFormat="1" applyFont="1" applyFill="1" applyBorder="1" applyAlignment="1" applyProtection="1">
      <alignment horizontal="center" vertical="center" wrapText="1"/>
    </xf>
    <xf numFmtId="166" fontId="7" fillId="6" borderId="9" xfId="1" applyNumberFormat="1" applyFont="1" applyFill="1" applyBorder="1" applyAlignment="1">
      <alignment horizontal="center" vertical="center"/>
    </xf>
    <xf numFmtId="166" fontId="7" fillId="21" borderId="9" xfId="1" applyNumberFormat="1" applyFont="1" applyFill="1" applyBorder="1" applyAlignment="1">
      <alignment horizontal="center" vertical="center"/>
    </xf>
    <xf numFmtId="1" fontId="10" fillId="6" borderId="30" xfId="1" applyNumberFormat="1" applyFont="1" applyFill="1" applyBorder="1" applyAlignment="1">
      <alignment horizontal="center" vertical="center" wrapText="1"/>
    </xf>
    <xf numFmtId="1" fontId="10" fillId="6" borderId="31" xfId="1" applyNumberFormat="1" applyFont="1" applyFill="1" applyBorder="1" applyAlignment="1">
      <alignment horizontal="center" vertical="center" wrapText="1"/>
    </xf>
    <xf numFmtId="1" fontId="10" fillId="6" borderId="32" xfId="1" applyNumberFormat="1" applyFont="1" applyFill="1" applyBorder="1" applyAlignment="1">
      <alignment horizontal="center" vertical="center" wrapText="1"/>
    </xf>
    <xf numFmtId="0" fontId="10" fillId="0" borderId="33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 vertical="center" textRotation="90" wrapText="1"/>
    </xf>
    <xf numFmtId="0" fontId="10" fillId="7" borderId="9" xfId="1" applyFont="1" applyFill="1" applyBorder="1" applyAlignment="1">
      <alignment horizontal="center" vertical="center" wrapText="1"/>
    </xf>
    <xf numFmtId="0" fontId="10" fillId="6" borderId="9" xfId="1" applyFont="1" applyFill="1" applyBorder="1" applyAlignment="1">
      <alignment horizontal="center" vertical="center"/>
    </xf>
    <xf numFmtId="0" fontId="10" fillId="6" borderId="2" xfId="2" applyNumberFormat="1" applyFont="1" applyFill="1" applyBorder="1" applyAlignment="1" applyProtection="1">
      <alignment horizontal="center" vertical="center" wrapText="1"/>
    </xf>
    <xf numFmtId="166" fontId="7" fillId="6" borderId="2" xfId="1" applyNumberFormat="1" applyFont="1" applyFill="1" applyBorder="1" applyAlignment="1">
      <alignment horizontal="center" vertical="center"/>
    </xf>
    <xf numFmtId="166" fontId="7" fillId="11" borderId="2" xfId="1" applyNumberFormat="1" applyFont="1" applyFill="1" applyBorder="1" applyAlignment="1">
      <alignment horizontal="center" vertical="center"/>
    </xf>
    <xf numFmtId="9" fontId="12" fillId="6" borderId="34" xfId="19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textRotation="90" wrapText="1"/>
    </xf>
    <xf numFmtId="0" fontId="10" fillId="6" borderId="2" xfId="1" applyFont="1" applyFill="1" applyBorder="1" applyAlignment="1">
      <alignment horizontal="center" vertical="center"/>
    </xf>
    <xf numFmtId="4" fontId="10" fillId="6" borderId="2" xfId="1" applyNumberFormat="1" applyFont="1" applyFill="1" applyBorder="1" applyAlignment="1">
      <alignment horizontal="center" vertical="center" wrapText="1"/>
    </xf>
    <xf numFmtId="14" fontId="13" fillId="6" borderId="5" xfId="1" applyNumberFormat="1" applyFont="1" applyFill="1" applyBorder="1" applyAlignment="1">
      <alignment horizontal="center" vertical="center" wrapText="1"/>
    </xf>
    <xf numFmtId="1" fontId="11" fillId="6" borderId="2" xfId="1" applyNumberFormat="1" applyFont="1" applyFill="1" applyBorder="1" applyAlignment="1">
      <alignment horizontal="center" vertical="center" wrapText="1"/>
    </xf>
    <xf numFmtId="1" fontId="6" fillId="6" borderId="11" xfId="1" applyNumberFormat="1" applyFont="1" applyFill="1" applyBorder="1" applyAlignment="1">
      <alignment horizontal="center" vertical="center" wrapText="1"/>
    </xf>
    <xf numFmtId="14" fontId="13" fillId="6" borderId="2" xfId="1" applyNumberFormat="1" applyFont="1" applyFill="1" applyBorder="1" applyAlignment="1">
      <alignment horizontal="center" vertical="center" wrapText="1"/>
    </xf>
    <xf numFmtId="166" fontId="7" fillId="8" borderId="2" xfId="1" applyNumberFormat="1" applyFont="1" applyFill="1" applyBorder="1" applyAlignment="1">
      <alignment horizontal="center" vertical="center"/>
    </xf>
    <xf numFmtId="167" fontId="10" fillId="5" borderId="2" xfId="1" applyNumberFormat="1" applyFont="1" applyFill="1" applyBorder="1" applyAlignment="1">
      <alignment horizontal="center" vertical="center" wrapText="1"/>
    </xf>
    <xf numFmtId="9" fontId="12" fillId="5" borderId="2" xfId="19" applyFont="1" applyFill="1" applyBorder="1" applyAlignment="1">
      <alignment horizontal="center" vertical="center"/>
    </xf>
    <xf numFmtId="0" fontId="10" fillId="5" borderId="2" xfId="2" applyNumberFormat="1" applyFont="1" applyFill="1" applyBorder="1" applyAlignment="1" applyProtection="1">
      <alignment horizontal="center" vertical="center" wrapText="1"/>
    </xf>
    <xf numFmtId="166" fontId="7" fillId="5" borderId="2" xfId="1" applyNumberFormat="1" applyFont="1" applyFill="1" applyBorder="1" applyAlignment="1">
      <alignment horizontal="center" vertical="center"/>
    </xf>
    <xf numFmtId="166" fontId="7" fillId="12" borderId="2" xfId="1" applyNumberFormat="1" applyFont="1" applyFill="1" applyBorder="1" applyAlignment="1">
      <alignment horizontal="center" vertical="center"/>
    </xf>
    <xf numFmtId="1" fontId="6" fillId="5" borderId="11" xfId="1" applyNumberFormat="1" applyFont="1" applyFill="1" applyBorder="1" applyAlignment="1">
      <alignment horizontal="center" vertical="center" wrapText="1"/>
    </xf>
    <xf numFmtId="14" fontId="13" fillId="5" borderId="2" xfId="1" applyNumberFormat="1" applyFont="1" applyFill="1" applyBorder="1" applyAlignment="1">
      <alignment horizontal="center" vertical="center" wrapText="1"/>
    </xf>
    <xf numFmtId="167" fontId="10" fillId="7" borderId="2" xfId="1" applyNumberFormat="1" applyFont="1" applyFill="1" applyBorder="1" applyAlignment="1">
      <alignment horizontal="center" vertical="center" wrapText="1"/>
    </xf>
    <xf numFmtId="9" fontId="12" fillId="7" borderId="2" xfId="19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textRotation="90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/>
    </xf>
    <xf numFmtId="4" fontId="10" fillId="5" borderId="2" xfId="1" applyNumberFormat="1" applyFont="1" applyFill="1" applyBorder="1" applyAlignment="1">
      <alignment horizontal="center" vertical="center" wrapText="1"/>
    </xf>
    <xf numFmtId="166" fontId="7" fillId="7" borderId="2" xfId="1" applyNumberFormat="1" applyFont="1" applyFill="1" applyBorder="1" applyAlignment="1">
      <alignment horizontal="center" vertical="center"/>
    </xf>
    <xf numFmtId="166" fontId="7" fillId="13" borderId="2" xfId="1" applyNumberFormat="1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14" fontId="13" fillId="6" borderId="35" xfId="1" applyNumberFormat="1" applyFont="1" applyFill="1" applyBorder="1" applyAlignment="1">
      <alignment horizontal="center" vertical="center" wrapText="1"/>
    </xf>
    <xf numFmtId="1" fontId="6" fillId="5" borderId="2" xfId="1" applyNumberFormat="1" applyFont="1" applyFill="1" applyBorder="1" applyAlignment="1">
      <alignment horizontal="center" vertical="center" wrapText="1"/>
    </xf>
    <xf numFmtId="0" fontId="10" fillId="0" borderId="36" xfId="1" applyFont="1" applyFill="1" applyBorder="1" applyAlignment="1">
      <alignment horizontal="center" vertical="center" wrapText="1"/>
    </xf>
    <xf numFmtId="0" fontId="10" fillId="6" borderId="12" xfId="2" applyNumberFormat="1" applyFont="1" applyFill="1" applyBorder="1" applyAlignment="1" applyProtection="1">
      <alignment horizontal="center" vertical="center" wrapText="1"/>
    </xf>
    <xf numFmtId="9" fontId="7" fillId="6" borderId="6" xfId="1" applyNumberFormat="1" applyFont="1" applyFill="1" applyBorder="1" applyAlignment="1">
      <alignment horizontal="center" vertical="center"/>
    </xf>
    <xf numFmtId="9" fontId="7" fillId="6" borderId="12" xfId="1" applyNumberFormat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10" fillId="6" borderId="6" xfId="2" applyNumberFormat="1" applyFont="1" applyFill="1" applyBorder="1" applyAlignment="1" applyProtection="1">
      <alignment horizontal="center" vertical="center" wrapText="1"/>
    </xf>
    <xf numFmtId="0" fontId="6" fillId="6" borderId="9" xfId="2" applyNumberFormat="1" applyFont="1" applyFill="1" applyBorder="1" applyAlignment="1" applyProtection="1">
      <alignment horizontal="center" vertical="center" wrapText="1"/>
    </xf>
    <xf numFmtId="9" fontId="8" fillId="6" borderId="4" xfId="1" applyNumberFormat="1" applyFont="1" applyFill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1" fontId="6" fillId="8" borderId="38" xfId="1" applyNumberFormat="1" applyFont="1" applyFill="1" applyBorder="1" applyAlignment="1">
      <alignment horizontal="center" vertical="center" wrapText="1"/>
    </xf>
    <xf numFmtId="1" fontId="6" fillId="7" borderId="38" xfId="1" applyNumberFormat="1" applyFont="1" applyFill="1" applyBorder="1" applyAlignment="1">
      <alignment horizontal="center" vertical="center" wrapText="1"/>
    </xf>
    <xf numFmtId="2" fontId="6" fillId="7" borderId="38" xfId="1" applyNumberFormat="1" applyFont="1" applyFill="1" applyBorder="1" applyAlignment="1">
      <alignment horizontal="center" vertical="center" textRotation="90" wrapText="1"/>
    </xf>
    <xf numFmtId="0" fontId="8" fillId="7" borderId="38" xfId="1" applyFont="1" applyFill="1" applyBorder="1" applyAlignment="1">
      <alignment horizontal="center" vertical="center" textRotation="90" wrapText="1"/>
    </xf>
    <xf numFmtId="1" fontId="8" fillId="7" borderId="38" xfId="1" applyNumberFormat="1" applyFont="1" applyFill="1" applyBorder="1" applyAlignment="1">
      <alignment horizontal="center" vertical="center" wrapText="1"/>
    </xf>
    <xf numFmtId="14" fontId="6" fillId="6" borderId="2" xfId="1" applyNumberFormat="1" applyFont="1" applyFill="1" applyBorder="1" applyAlignment="1">
      <alignment horizontal="center" vertical="center" textRotation="90" wrapText="1"/>
    </xf>
    <xf numFmtId="0" fontId="15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5" fillId="6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7" fillId="6" borderId="0" xfId="1" applyFont="1" applyFill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7" borderId="38" xfId="1" applyFont="1" applyFill="1" applyBorder="1" applyAlignment="1">
      <alignment horizontal="center" vertical="center" wrapText="1"/>
    </xf>
    <xf numFmtId="0" fontId="6" fillId="7" borderId="38" xfId="1" applyFont="1" applyFill="1" applyBorder="1" applyAlignment="1">
      <alignment horizontal="center" vertical="center" textRotation="90" wrapText="1"/>
    </xf>
    <xf numFmtId="0" fontId="6" fillId="7" borderId="38" xfId="1" applyFont="1" applyFill="1" applyBorder="1" applyAlignment="1">
      <alignment horizontal="center" vertical="center" textRotation="90"/>
    </xf>
    <xf numFmtId="0" fontId="6" fillId="6" borderId="40" xfId="1" applyFont="1" applyFill="1" applyBorder="1" applyAlignment="1">
      <alignment horizontal="center" vertical="center"/>
    </xf>
    <xf numFmtId="4" fontId="24" fillId="0" borderId="6" xfId="1" applyNumberFormat="1" applyFont="1" applyFill="1" applyBorder="1" applyAlignment="1">
      <alignment horizontal="center" vertical="center" wrapText="1"/>
    </xf>
    <xf numFmtId="4" fontId="24" fillId="0" borderId="15" xfId="1" applyNumberFormat="1" applyFont="1" applyFill="1" applyBorder="1" applyAlignment="1">
      <alignment horizontal="center" vertical="center" wrapText="1"/>
    </xf>
    <xf numFmtId="4" fontId="24" fillId="0" borderId="12" xfId="1" applyNumberFormat="1" applyFont="1" applyFill="1" applyBorder="1" applyAlignment="1">
      <alignment horizontal="center" vertical="center" wrapText="1"/>
    </xf>
    <xf numFmtId="4" fontId="24" fillId="0" borderId="54" xfId="1" applyNumberFormat="1" applyFont="1" applyFill="1" applyBorder="1" applyAlignment="1">
      <alignment horizontal="center" vertical="center" wrapText="1"/>
    </xf>
    <xf numFmtId="4" fontId="24" fillId="0" borderId="23" xfId="1" applyNumberFormat="1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66" fontId="24" fillId="0" borderId="53" xfId="1" applyNumberFormat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166" fontId="24" fillId="0" borderId="6" xfId="1" applyNumberFormat="1" applyFont="1" applyFill="1" applyBorder="1" applyAlignment="1">
      <alignment horizontal="center" vertical="center" wrapText="1"/>
    </xf>
    <xf numFmtId="166" fontId="24" fillId="0" borderId="15" xfId="1" applyNumberFormat="1" applyFont="1" applyFill="1" applyBorder="1" applyAlignment="1">
      <alignment horizontal="center" vertical="center" wrapText="1"/>
    </xf>
    <xf numFmtId="166" fontId="24" fillId="0" borderId="12" xfId="1" applyNumberFormat="1" applyFont="1" applyFill="1" applyBorder="1" applyAlignment="1">
      <alignment horizontal="center" vertical="center" wrapText="1"/>
    </xf>
    <xf numFmtId="166" fontId="24" fillId="0" borderId="9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66" fontId="24" fillId="0" borderId="65" xfId="1" applyNumberFormat="1" applyFont="1" applyFill="1" applyBorder="1" applyAlignment="1">
      <alignment horizontal="center" vertical="center" wrapText="1"/>
    </xf>
    <xf numFmtId="166" fontId="24" fillId="0" borderId="19" xfId="1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166" fontId="24" fillId="0" borderId="2" xfId="1" applyNumberFormat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170" fontId="24" fillId="0" borderId="6" xfId="1" applyNumberFormat="1" applyFont="1" applyFill="1" applyBorder="1" applyAlignment="1">
      <alignment horizontal="center" vertical="center" wrapText="1"/>
    </xf>
    <xf numFmtId="170" fontId="24" fillId="0" borderId="15" xfId="1" applyNumberFormat="1" applyFont="1" applyFill="1" applyBorder="1" applyAlignment="1">
      <alignment horizontal="center" vertical="center" wrapText="1"/>
    </xf>
    <xf numFmtId="170" fontId="24" fillId="0" borderId="12" xfId="1" applyNumberFormat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 wrapText="1"/>
    </xf>
    <xf numFmtId="4" fontId="24" fillId="0" borderId="9" xfId="1" applyNumberFormat="1" applyFont="1" applyFill="1" applyBorder="1" applyAlignment="1">
      <alignment horizontal="center" vertical="center" wrapText="1"/>
    </xf>
    <xf numFmtId="4" fontId="24" fillId="0" borderId="54" xfId="1" applyNumberFormat="1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5" xfId="0" applyFont="1" applyFill="1" applyBorder="1" applyAlignment="1">
      <alignment vertical="center" wrapText="1"/>
    </xf>
    <xf numFmtId="4" fontId="24" fillId="0" borderId="17" xfId="1" applyNumberFormat="1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 wrapText="1"/>
    </xf>
    <xf numFmtId="4" fontId="24" fillId="0" borderId="80" xfId="1" applyNumberFormat="1" applyFont="1" applyFill="1" applyBorder="1" applyAlignment="1">
      <alignment horizontal="center" vertical="center" wrapText="1"/>
    </xf>
    <xf numFmtId="4" fontId="24" fillId="0" borderId="25" xfId="1" applyNumberFormat="1" applyFont="1" applyFill="1" applyBorder="1" applyAlignment="1">
      <alignment horizontal="center" vertical="center" wrapText="1"/>
    </xf>
    <xf numFmtId="166" fontId="24" fillId="0" borderId="70" xfId="1" applyNumberFormat="1" applyFont="1" applyFill="1" applyBorder="1" applyAlignment="1">
      <alignment horizontal="center" vertical="center" wrapText="1"/>
    </xf>
    <xf numFmtId="166" fontId="24" fillId="0" borderId="23" xfId="1" applyNumberFormat="1" applyFont="1" applyFill="1" applyBorder="1" applyAlignment="1">
      <alignment horizontal="center" vertical="center" wrapText="1"/>
    </xf>
    <xf numFmtId="166" fontId="24" fillId="0" borderId="25" xfId="1" applyNumberFormat="1" applyFont="1" applyFill="1" applyBorder="1" applyAlignment="1">
      <alignment horizontal="center" vertical="center" wrapText="1"/>
    </xf>
    <xf numFmtId="166" fontId="24" fillId="0" borderId="17" xfId="1" applyNumberFormat="1" applyFont="1" applyFill="1" applyBorder="1" applyAlignment="1">
      <alignment horizontal="center" vertical="center" wrapText="1"/>
    </xf>
    <xf numFmtId="166" fontId="24" fillId="0" borderId="24" xfId="1" applyNumberFormat="1" applyFont="1" applyFill="1" applyBorder="1" applyAlignment="1">
      <alignment horizontal="center" vertical="center" wrapText="1"/>
    </xf>
    <xf numFmtId="166" fontId="24" fillId="0" borderId="26" xfId="1" applyNumberFormat="1" applyFont="1" applyFill="1" applyBorder="1" applyAlignment="1">
      <alignment horizontal="center" vertical="center" wrapText="1"/>
    </xf>
    <xf numFmtId="166" fontId="24" fillId="0" borderId="34" xfId="1" applyNumberFormat="1" applyFont="1" applyFill="1" applyBorder="1" applyAlignment="1">
      <alignment horizontal="center" vertical="center" wrapText="1"/>
    </xf>
    <xf numFmtId="166" fontId="24" fillId="0" borderId="31" xfId="1" applyNumberFormat="1" applyFont="1" applyFill="1" applyBorder="1" applyAlignment="1">
      <alignment horizontal="center" vertical="center" wrapText="1"/>
    </xf>
    <xf numFmtId="166" fontId="24" fillId="0" borderId="32" xfId="1" applyNumberFormat="1" applyFont="1" applyFill="1" applyBorder="1" applyAlignment="1">
      <alignment horizontal="center" vertical="center" wrapText="1"/>
    </xf>
    <xf numFmtId="166" fontId="24" fillId="0" borderId="54" xfId="1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9" fontId="24" fillId="0" borderId="6" xfId="1" applyNumberFormat="1" applyFont="1" applyFill="1" applyBorder="1" applyAlignment="1">
      <alignment horizontal="center" vertical="center" wrapText="1"/>
    </xf>
    <xf numFmtId="9" fontId="24" fillId="0" borderId="15" xfId="1" applyNumberFormat="1" applyFont="1" applyFill="1" applyBorder="1" applyAlignment="1">
      <alignment horizontal="center" vertical="center" wrapText="1"/>
    </xf>
    <xf numFmtId="9" fontId="24" fillId="0" borderId="12" xfId="1" applyNumberFormat="1" applyFont="1" applyFill="1" applyBorder="1" applyAlignment="1">
      <alignment horizontal="center" vertical="center" wrapText="1"/>
    </xf>
    <xf numFmtId="9" fontId="24" fillId="0" borderId="6" xfId="19" applyFont="1" applyFill="1" applyBorder="1" applyAlignment="1">
      <alignment horizontal="center" vertical="center" wrapText="1"/>
    </xf>
    <xf numFmtId="9" fontId="24" fillId="0" borderId="15" xfId="19" applyFont="1" applyFill="1" applyBorder="1" applyAlignment="1">
      <alignment horizontal="center" vertical="center" wrapText="1"/>
    </xf>
    <xf numFmtId="9" fontId="24" fillId="0" borderId="25" xfId="19" applyFont="1" applyFill="1" applyBorder="1" applyAlignment="1">
      <alignment horizontal="center" vertical="center" wrapText="1"/>
    </xf>
    <xf numFmtId="9" fontId="24" fillId="0" borderId="12" xfId="19" applyFont="1" applyFill="1" applyBorder="1" applyAlignment="1">
      <alignment horizontal="center" vertical="center" wrapText="1"/>
    </xf>
    <xf numFmtId="0" fontId="5" fillId="0" borderId="73" xfId="1" applyFont="1" applyFill="1" applyBorder="1" applyAlignment="1">
      <alignment horizontal="center" vertical="center" wrapText="1"/>
    </xf>
    <xf numFmtId="0" fontId="5" fillId="0" borderId="54" xfId="1" applyFont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76" xfId="1" applyFont="1" applyFill="1" applyBorder="1" applyAlignment="1">
      <alignment horizontal="center" vertical="center" wrapText="1"/>
    </xf>
    <xf numFmtId="0" fontId="5" fillId="0" borderId="78" xfId="1" applyFont="1" applyFill="1" applyBorder="1" applyAlignment="1">
      <alignment horizontal="center" vertical="center" wrapText="1"/>
    </xf>
    <xf numFmtId="0" fontId="5" fillId="0" borderId="79" xfId="1" applyFont="1" applyFill="1" applyBorder="1" applyAlignment="1">
      <alignment horizontal="center" vertical="center" wrapText="1"/>
    </xf>
    <xf numFmtId="9" fontId="24" fillId="0" borderId="34" xfId="19" applyFont="1" applyFill="1" applyBorder="1" applyAlignment="1">
      <alignment horizontal="center" vertical="center" wrapText="1"/>
    </xf>
    <xf numFmtId="0" fontId="5" fillId="0" borderId="67" xfId="1" applyFont="1" applyFill="1" applyBorder="1" applyAlignment="1">
      <alignment horizontal="center" vertical="center" wrapText="1"/>
    </xf>
    <xf numFmtId="0" fontId="5" fillId="0" borderId="68" xfId="1" applyFont="1" applyFill="1" applyBorder="1" applyAlignment="1">
      <alignment horizontal="center" vertical="center" wrapText="1"/>
    </xf>
    <xf numFmtId="0" fontId="5" fillId="0" borderId="69" xfId="1" applyFont="1" applyFill="1" applyBorder="1" applyAlignment="1">
      <alignment horizontal="center" vertical="center" wrapText="1"/>
    </xf>
    <xf numFmtId="9" fontId="24" fillId="0" borderId="53" xfId="19" applyFont="1" applyFill="1" applyBorder="1" applyAlignment="1">
      <alignment horizontal="center" vertical="center" wrapText="1"/>
    </xf>
    <xf numFmtId="9" fontId="24" fillId="0" borderId="31" xfId="19" applyFont="1" applyFill="1" applyBorder="1" applyAlignment="1">
      <alignment horizontal="center" vertical="center" wrapText="1"/>
    </xf>
    <xf numFmtId="9" fontId="24" fillId="0" borderId="32" xfId="19" applyFont="1" applyFill="1" applyBorder="1" applyAlignment="1">
      <alignment horizontal="center" vertical="center" wrapText="1"/>
    </xf>
    <xf numFmtId="14" fontId="5" fillId="0" borderId="12" xfId="1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center" vertical="center" wrapText="1"/>
    </xf>
    <xf numFmtId="166" fontId="24" fillId="0" borderId="27" xfId="1" applyNumberFormat="1" applyFont="1" applyFill="1" applyBorder="1" applyAlignment="1">
      <alignment horizontal="center" vertical="center" wrapText="1"/>
    </xf>
    <xf numFmtId="166" fontId="24" fillId="0" borderId="28" xfId="1" applyNumberFormat="1" applyFont="1" applyFill="1" applyBorder="1" applyAlignment="1">
      <alignment horizontal="center" vertical="center" wrapText="1"/>
    </xf>
    <xf numFmtId="166" fontId="24" fillId="0" borderId="29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wrapText="1"/>
    </xf>
    <xf numFmtId="9" fontId="24" fillId="0" borderId="80" xfId="19" applyFont="1" applyFill="1" applyBorder="1" applyAlignment="1">
      <alignment horizontal="center" vertical="center" wrapText="1"/>
    </xf>
    <xf numFmtId="0" fontId="25" fillId="0" borderId="9" xfId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167" fontId="5" fillId="0" borderId="2" xfId="1" applyNumberFormat="1" applyFont="1" applyFill="1" applyBorder="1" applyAlignment="1">
      <alignment horizontal="center" vertical="center" wrapText="1"/>
    </xf>
    <xf numFmtId="9" fontId="24" fillId="0" borderId="9" xfId="19" applyFont="1" applyFill="1" applyBorder="1" applyAlignment="1">
      <alignment horizontal="center" vertical="center" wrapText="1"/>
    </xf>
    <xf numFmtId="0" fontId="5" fillId="0" borderId="75" xfId="1" applyFont="1" applyFill="1" applyBorder="1" applyAlignment="1">
      <alignment horizontal="center" vertical="center" wrapText="1"/>
    </xf>
    <xf numFmtId="0" fontId="5" fillId="0" borderId="77" xfId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textRotation="90" wrapText="1"/>
    </xf>
    <xf numFmtId="168" fontId="25" fillId="0" borderId="6" xfId="1" applyNumberFormat="1" applyFont="1" applyFill="1" applyBorder="1" applyAlignment="1">
      <alignment horizontal="center" vertical="center" wrapText="1"/>
    </xf>
    <xf numFmtId="168" fontId="25" fillId="0" borderId="15" xfId="1" applyNumberFormat="1" applyFont="1" applyFill="1" applyBorder="1" applyAlignment="1">
      <alignment horizontal="center" vertical="center" wrapText="1"/>
    </xf>
    <xf numFmtId="168" fontId="25" fillId="0" borderId="12" xfId="1" applyNumberFormat="1" applyFont="1" applyFill="1" applyBorder="1" applyAlignment="1">
      <alignment horizontal="center" vertical="center" wrapText="1"/>
    </xf>
    <xf numFmtId="168" fontId="25" fillId="0" borderId="17" xfId="1" applyNumberFormat="1" applyFont="1" applyFill="1" applyBorder="1" applyAlignment="1">
      <alignment horizontal="center" vertical="center" wrapText="1"/>
    </xf>
    <xf numFmtId="168" fontId="25" fillId="0" borderId="24" xfId="1" applyNumberFormat="1" applyFont="1" applyFill="1" applyBorder="1" applyAlignment="1">
      <alignment horizontal="center" vertical="center" wrapText="1"/>
    </xf>
    <xf numFmtId="168" fontId="25" fillId="0" borderId="26" xfId="1" applyNumberFormat="1" applyFont="1" applyFill="1" applyBorder="1" applyAlignment="1">
      <alignment horizontal="center" vertical="center" wrapText="1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15" xfId="2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12" xfId="2" applyNumberFormat="1" applyFont="1" applyFill="1" applyBorder="1" applyAlignment="1" applyProtection="1">
      <alignment horizontal="center" vertical="center" wrapText="1"/>
    </xf>
    <xf numFmtId="14" fontId="26" fillId="0" borderId="9" xfId="1" applyNumberFormat="1" applyFont="1" applyFill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horizontal="center" vertical="center" wrapText="1"/>
    </xf>
    <xf numFmtId="166" fontId="5" fillId="0" borderId="6" xfId="1" applyNumberFormat="1" applyFont="1" applyFill="1" applyBorder="1" applyAlignment="1">
      <alignment horizontal="center" vertical="center" wrapText="1"/>
    </xf>
    <xf numFmtId="166" fontId="5" fillId="0" borderId="1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166" fontId="24" fillId="0" borderId="7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166" fontId="24" fillId="0" borderId="74" xfId="1" applyNumberFormat="1" applyFont="1" applyFill="1" applyBorder="1" applyAlignment="1">
      <alignment horizontal="center" vertical="center" wrapText="1"/>
    </xf>
    <xf numFmtId="1" fontId="25" fillId="0" borderId="2" xfId="1" applyNumberFormat="1" applyFont="1" applyFill="1" applyBorder="1" applyAlignment="1">
      <alignment horizontal="center" vertical="center" wrapText="1"/>
    </xf>
    <xf numFmtId="9" fontId="24" fillId="0" borderId="2" xfId="19" applyFont="1" applyFill="1" applyBorder="1" applyAlignment="1">
      <alignment horizontal="center" vertical="center" wrapText="1"/>
    </xf>
    <xf numFmtId="9" fontId="24" fillId="0" borderId="11" xfId="19" applyFont="1" applyFill="1" applyBorder="1" applyAlignment="1">
      <alignment horizontal="center" vertical="center" wrapText="1"/>
    </xf>
    <xf numFmtId="166" fontId="24" fillId="0" borderId="57" xfId="1" applyNumberFormat="1" applyFont="1" applyFill="1" applyBorder="1" applyAlignment="1">
      <alignment horizontal="center" vertical="center" wrapText="1"/>
    </xf>
    <xf numFmtId="166" fontId="24" fillId="0" borderId="63" xfId="1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1" fontId="5" fillId="0" borderId="38" xfId="1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" fontId="5" fillId="0" borderId="50" xfId="1" applyNumberFormat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textRotation="90" wrapText="1"/>
    </xf>
    <xf numFmtId="1" fontId="5" fillId="0" borderId="49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3" fontId="5" fillId="0" borderId="38" xfId="1" applyNumberFormat="1" applyFont="1" applyFill="1" applyBorder="1" applyAlignment="1">
      <alignment horizontal="center" vertical="center" wrapText="1"/>
    </xf>
    <xf numFmtId="3" fontId="5" fillId="0" borderId="40" xfId="1" applyNumberFormat="1" applyFont="1" applyFill="1" applyBorder="1" applyAlignment="1">
      <alignment horizontal="center" vertical="center" wrapText="1"/>
    </xf>
    <xf numFmtId="166" fontId="29" fillId="0" borderId="9" xfId="1" applyNumberFormat="1" applyFont="1" applyFill="1" applyBorder="1" applyAlignment="1">
      <alignment horizontal="center" vertical="center" wrapText="1"/>
    </xf>
    <xf numFmtId="2" fontId="5" fillId="0" borderId="38" xfId="1" applyNumberFormat="1" applyFont="1" applyFill="1" applyBorder="1" applyAlignment="1">
      <alignment horizontal="center" vertical="center" textRotation="90" wrapText="1"/>
    </xf>
    <xf numFmtId="166" fontId="24" fillId="0" borderId="11" xfId="1" applyNumberFormat="1" applyFont="1" applyFill="1" applyBorder="1" applyAlignment="1">
      <alignment horizontal="center" vertical="center" wrapText="1"/>
    </xf>
    <xf numFmtId="9" fontId="5" fillId="0" borderId="4" xfId="1" applyNumberFormat="1" applyFont="1" applyFill="1" applyBorder="1" applyAlignment="1">
      <alignment horizontal="center" vertical="center" wrapText="1"/>
    </xf>
    <xf numFmtId="14" fontId="5" fillId="0" borderId="2" xfId="1" applyNumberFormat="1" applyFont="1" applyFill="1" applyBorder="1" applyAlignment="1">
      <alignment horizontal="center" vertical="center" textRotation="90" wrapText="1"/>
    </xf>
    <xf numFmtId="0" fontId="24" fillId="0" borderId="37" xfId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9" fontId="5" fillId="0" borderId="53" xfId="1" applyNumberFormat="1" applyFont="1" applyFill="1" applyBorder="1" applyAlignment="1">
      <alignment horizontal="center" vertical="center" wrapText="1"/>
    </xf>
    <xf numFmtId="9" fontId="5" fillId="0" borderId="31" xfId="1" applyNumberFormat="1" applyFont="1" applyFill="1" applyBorder="1" applyAlignment="1">
      <alignment horizontal="center" vertical="center" wrapText="1"/>
    </xf>
    <xf numFmtId="9" fontId="5" fillId="0" borderId="32" xfId="1" applyNumberFormat="1" applyFont="1" applyFill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 wrapText="1"/>
    </xf>
    <xf numFmtId="14" fontId="26" fillId="0" borderId="5" xfId="1" applyNumberFormat="1" applyFont="1" applyFill="1" applyBorder="1" applyAlignment="1">
      <alignment horizontal="center" vertical="center" wrapText="1"/>
    </xf>
    <xf numFmtId="14" fontId="26" fillId="0" borderId="71" xfId="1" applyNumberFormat="1" applyFont="1" applyFill="1" applyBorder="1" applyAlignment="1">
      <alignment horizontal="center" vertical="center" wrapText="1"/>
    </xf>
    <xf numFmtId="9" fontId="24" fillId="0" borderId="60" xfId="19" applyFont="1" applyFill="1" applyBorder="1" applyAlignment="1">
      <alignment horizontal="center" vertical="center" wrapText="1"/>
    </xf>
    <xf numFmtId="9" fontId="24" fillId="0" borderId="0" xfId="19" applyFont="1" applyFill="1" applyBorder="1" applyAlignment="1">
      <alignment horizontal="center" vertical="center" wrapText="1"/>
    </xf>
    <xf numFmtId="9" fontId="24" fillId="0" borderId="64" xfId="19" applyFont="1" applyFill="1" applyBorder="1" applyAlignment="1">
      <alignment horizontal="center" vertical="center" wrapText="1"/>
    </xf>
    <xf numFmtId="14" fontId="26" fillId="0" borderId="55" xfId="1" applyNumberFormat="1" applyFont="1" applyFill="1" applyBorder="1" applyAlignment="1">
      <alignment horizontal="center" vertical="center" wrapText="1"/>
    </xf>
    <xf numFmtId="166" fontId="24" fillId="0" borderId="66" xfId="1" applyNumberFormat="1" applyFont="1" applyFill="1" applyBorder="1" applyAlignment="1">
      <alignment horizontal="center" vertical="center" wrapText="1"/>
    </xf>
    <xf numFmtId="166" fontId="24" fillId="0" borderId="61" xfId="1" applyNumberFormat="1" applyFont="1" applyFill="1" applyBorder="1" applyAlignment="1">
      <alignment horizontal="center" vertical="center" wrapText="1"/>
    </xf>
    <xf numFmtId="166" fontId="24" fillId="0" borderId="62" xfId="1" applyNumberFormat="1" applyFont="1" applyFill="1" applyBorder="1" applyAlignment="1">
      <alignment horizontal="center" vertical="center" wrapText="1"/>
    </xf>
    <xf numFmtId="166" fontId="24" fillId="0" borderId="58" xfId="1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14" fontId="5" fillId="0" borderId="6" xfId="1" applyNumberFormat="1" applyFont="1" applyFill="1" applyBorder="1" applyAlignment="1">
      <alignment horizontal="center" vertical="center" wrapText="1"/>
    </xf>
    <xf numFmtId="14" fontId="5" fillId="0" borderId="15" xfId="1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1" fontId="5" fillId="0" borderId="15" xfId="1" applyNumberFormat="1" applyFont="1" applyFill="1" applyBorder="1" applyAlignment="1">
      <alignment horizontal="center" vertical="center" wrapText="1"/>
    </xf>
    <xf numFmtId="1" fontId="5" fillId="0" borderId="12" xfId="1" applyNumberFormat="1" applyFont="1" applyFill="1" applyBorder="1" applyAlignment="1">
      <alignment horizontal="center" vertical="center" wrapText="1"/>
    </xf>
    <xf numFmtId="14" fontId="25" fillId="0" borderId="6" xfId="1" applyNumberFormat="1" applyFont="1" applyFill="1" applyBorder="1" applyAlignment="1">
      <alignment horizontal="center" vertical="center" wrapText="1"/>
    </xf>
    <xf numFmtId="14" fontId="25" fillId="0" borderId="15" xfId="1" applyNumberFormat="1" applyFont="1" applyFill="1" applyBorder="1" applyAlignment="1">
      <alignment horizontal="center" vertical="center" wrapText="1"/>
    </xf>
    <xf numFmtId="14" fontId="25" fillId="0" borderId="12" xfId="1" applyNumberFormat="1" applyFont="1" applyFill="1" applyBorder="1" applyAlignment="1">
      <alignment horizontal="center" vertical="center" wrapText="1"/>
    </xf>
    <xf numFmtId="4" fontId="24" fillId="0" borderId="15" xfId="1" applyNumberFormat="1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4" fontId="24" fillId="0" borderId="24" xfId="1" applyNumberFormat="1" applyFont="1" applyFill="1" applyBorder="1" applyAlignment="1">
      <alignment horizontal="center" vertical="center" wrapText="1"/>
    </xf>
    <xf numFmtId="4" fontId="24" fillId="0" borderId="26" xfId="1" applyNumberFormat="1" applyFont="1" applyFill="1" applyBorder="1" applyAlignment="1">
      <alignment horizontal="center" vertical="center" wrapText="1"/>
    </xf>
    <xf numFmtId="1" fontId="5" fillId="0" borderId="17" xfId="1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4" fontId="5" fillId="0" borderId="12" xfId="1" applyNumberFormat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left" vertical="center" wrapText="1"/>
    </xf>
    <xf numFmtId="0" fontId="24" fillId="0" borderId="82" xfId="1" applyFont="1" applyFill="1" applyBorder="1" applyAlignment="1">
      <alignment horizontal="left" vertical="center" wrapText="1"/>
    </xf>
    <xf numFmtId="0" fontId="24" fillId="0" borderId="83" xfId="1" applyFont="1" applyFill="1" applyBorder="1" applyAlignment="1">
      <alignment horizontal="left" vertical="center" wrapText="1"/>
    </xf>
    <xf numFmtId="9" fontId="24" fillId="0" borderId="54" xfId="19" applyFont="1" applyFill="1" applyBorder="1" applyAlignment="1">
      <alignment horizontal="center" vertical="center" wrapText="1"/>
    </xf>
    <xf numFmtId="9" fontId="24" fillId="0" borderId="23" xfId="19" applyFont="1" applyFill="1" applyBorder="1" applyAlignment="1">
      <alignment horizontal="center" vertical="center" wrapText="1"/>
    </xf>
    <xf numFmtId="0" fontId="5" fillId="0" borderId="53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textRotation="90" wrapText="1"/>
    </xf>
    <xf numFmtId="0" fontId="5" fillId="0" borderId="81" xfId="1" applyFont="1" applyFill="1" applyBorder="1" applyAlignment="1">
      <alignment horizontal="center" vertical="center" wrapText="1"/>
    </xf>
    <xf numFmtId="0" fontId="5" fillId="0" borderId="80" xfId="1" applyFont="1" applyFill="1" applyBorder="1" applyAlignment="1">
      <alignment horizontal="center" vertical="center" wrapText="1"/>
    </xf>
    <xf numFmtId="0" fontId="19" fillId="0" borderId="15" xfId="0" applyFont="1" applyFill="1" applyBorder="1" applyAlignment="1"/>
    <xf numFmtId="0" fontId="19" fillId="0" borderId="12" xfId="0" applyFont="1" applyFill="1" applyBorder="1" applyAlignment="1"/>
    <xf numFmtId="166" fontId="24" fillId="0" borderId="59" xfId="1" applyNumberFormat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47" xfId="1" applyFont="1" applyFill="1" applyBorder="1" applyAlignment="1">
      <alignment horizontal="right" vertical="center"/>
    </xf>
  </cellXfs>
  <cellStyles count="23">
    <cellStyle name="Excel Built-in Normal" xfId="1"/>
    <cellStyle name="Обычный" xfId="0" builtinId="0"/>
    <cellStyle name="Обычный 2" xfId="2"/>
    <cellStyle name="Обычный 2 2" xfId="3"/>
    <cellStyle name="Обычный 2 2 2" xfId="4"/>
    <cellStyle name="Обычный 2 2 2 2" xfId="5"/>
    <cellStyle name="Обычный 2 2 2 3" xfId="6"/>
    <cellStyle name="Обычный 2 2 3" xfId="7"/>
    <cellStyle name="Обычный 2 3" xfId="8"/>
    <cellStyle name="Обычный 2 4" xfId="9"/>
    <cellStyle name="Обычный 2 5" xfId="10"/>
    <cellStyle name="Обычный 3" xfId="11"/>
    <cellStyle name="Обычный 3 2" xfId="12"/>
    <cellStyle name="Обычный 3 3" xfId="13"/>
    <cellStyle name="Обычный 3_Свод по программе  2008-2009" xfId="14"/>
    <cellStyle name="Обычный 4" xfId="15"/>
    <cellStyle name="Обычный 6" xfId="16"/>
    <cellStyle name="Обычный 6 2" xfId="17"/>
    <cellStyle name="Обычный 6 3" xfId="18"/>
    <cellStyle name="Процентный" xfId="19" builtinId="5"/>
    <cellStyle name="Процентный 2" xfId="20"/>
    <cellStyle name="Финансовый 2" xfId="21"/>
    <cellStyle name="Финансовый 3" xfId="2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193"/>
  <sheetViews>
    <sheetView view="pageBreakPreview" zoomScale="70" zoomScaleSheetLayoutView="70" workbookViewId="0">
      <selection activeCell="AB12" sqref="AB12"/>
    </sheetView>
  </sheetViews>
  <sheetFormatPr defaultColWidth="8.7109375" defaultRowHeight="15.75" x14ac:dyDescent="0.25"/>
  <cols>
    <col min="1" max="1" width="5.7109375" style="246" customWidth="1"/>
    <col min="2" max="2" width="22.42578125" style="247" customWidth="1"/>
    <col min="3" max="4" width="0" style="176" hidden="1" customWidth="1"/>
    <col min="5" max="6" width="0" style="177" hidden="1" customWidth="1"/>
    <col min="7" max="7" width="0" style="178" hidden="1" customWidth="1"/>
    <col min="8" max="8" width="0" style="177" hidden="1" customWidth="1"/>
    <col min="9" max="9" width="28.85546875" style="179" customWidth="1"/>
    <col min="10" max="10" width="20.140625" style="248" customWidth="1"/>
    <col min="11" max="12" width="21.7109375" style="180" hidden="1" customWidth="1"/>
    <col min="13" max="13" width="21.7109375" style="181" hidden="1" customWidth="1"/>
    <col min="14" max="14" width="27.7109375" style="250" customWidth="1"/>
    <col min="15" max="15" width="16.42578125" style="251" customWidth="1"/>
    <col min="16" max="16" width="18.28515625" style="252" customWidth="1"/>
    <col min="17" max="17" width="0" style="182" hidden="1" customWidth="1"/>
    <col min="18" max="18" width="8.85546875" style="183" hidden="1" customWidth="1"/>
    <col min="19" max="19" width="0" style="184" hidden="1" customWidth="1"/>
    <col min="20" max="20" width="13.7109375" style="184" hidden="1" customWidth="1"/>
    <col min="21" max="21" width="20.85546875" style="37" hidden="1" customWidth="1"/>
    <col min="22" max="24" width="8.7109375" style="245"/>
    <col min="25" max="25" width="18.85546875" style="245" customWidth="1"/>
    <col min="26" max="16384" width="8.7109375" style="245"/>
  </cols>
  <sheetData>
    <row r="1" spans="1:25" ht="61.5" customHeight="1" thickBot="1" x14ac:dyDescent="0.3">
      <c r="A1" s="561" t="s">
        <v>214</v>
      </c>
      <c r="B1" s="561"/>
      <c r="C1" s="562"/>
      <c r="D1" s="562"/>
      <c r="E1" s="562"/>
      <c r="F1" s="562"/>
      <c r="G1" s="562"/>
      <c r="H1" s="562"/>
      <c r="I1" s="563"/>
      <c r="J1" s="564"/>
      <c r="K1" s="565"/>
      <c r="L1" s="565"/>
      <c r="M1" s="565"/>
      <c r="N1" s="563"/>
      <c r="O1" s="563"/>
      <c r="P1" s="563"/>
      <c r="Q1" s="562"/>
      <c r="R1" s="562"/>
      <c r="S1" s="562"/>
      <c r="T1" s="562"/>
    </row>
    <row r="2" spans="1:25" ht="18" customHeight="1" thickBot="1" x14ac:dyDescent="0.3">
      <c r="A2" s="566" t="s">
        <v>0</v>
      </c>
      <c r="B2" s="567" t="s">
        <v>1</v>
      </c>
      <c r="C2" s="568" t="s">
        <v>2</v>
      </c>
      <c r="D2" s="567" t="s">
        <v>3</v>
      </c>
      <c r="E2" s="569" t="s">
        <v>4</v>
      </c>
      <c r="F2" s="569" t="s">
        <v>5</v>
      </c>
      <c r="G2" s="557" t="s">
        <v>6</v>
      </c>
      <c r="H2" s="558" t="s">
        <v>7</v>
      </c>
      <c r="I2" s="556" t="s">
        <v>8</v>
      </c>
      <c r="J2" s="439" t="s">
        <v>215</v>
      </c>
      <c r="K2" s="440"/>
      <c r="L2" s="556" t="s">
        <v>10</v>
      </c>
      <c r="M2" s="555" t="s">
        <v>11</v>
      </c>
      <c r="N2" s="556" t="s">
        <v>12</v>
      </c>
      <c r="O2" s="556" t="s">
        <v>13</v>
      </c>
      <c r="P2" s="556" t="s">
        <v>14</v>
      </c>
      <c r="Q2" s="556" t="s">
        <v>15</v>
      </c>
      <c r="R2" s="570" t="s">
        <v>16</v>
      </c>
      <c r="S2" s="570"/>
      <c r="T2" s="570"/>
      <c r="U2" s="559" t="s">
        <v>17</v>
      </c>
    </row>
    <row r="3" spans="1:25" ht="16.5" customHeight="1" thickBot="1" x14ac:dyDescent="0.3">
      <c r="A3" s="566"/>
      <c r="B3" s="567"/>
      <c r="C3" s="568"/>
      <c r="D3" s="567"/>
      <c r="E3" s="569"/>
      <c r="F3" s="569"/>
      <c r="G3" s="557"/>
      <c r="H3" s="558"/>
      <c r="I3" s="556"/>
      <c r="J3" s="441"/>
      <c r="K3" s="442"/>
      <c r="L3" s="556"/>
      <c r="M3" s="555"/>
      <c r="N3" s="556"/>
      <c r="O3" s="556"/>
      <c r="P3" s="556"/>
      <c r="Q3" s="556"/>
      <c r="R3" s="570"/>
      <c r="S3" s="570"/>
      <c r="T3" s="570"/>
      <c r="U3" s="559"/>
    </row>
    <row r="4" spans="1:25" ht="37.5" customHeight="1" thickBot="1" x14ac:dyDescent="0.3">
      <c r="A4" s="566"/>
      <c r="B4" s="567"/>
      <c r="C4" s="568"/>
      <c r="D4" s="567"/>
      <c r="E4" s="569"/>
      <c r="F4" s="569"/>
      <c r="G4" s="557"/>
      <c r="H4" s="558"/>
      <c r="I4" s="556"/>
      <c r="J4" s="443"/>
      <c r="K4" s="444"/>
      <c r="L4" s="556"/>
      <c r="M4" s="555"/>
      <c r="N4" s="556"/>
      <c r="O4" s="556"/>
      <c r="P4" s="556"/>
      <c r="Q4" s="556"/>
      <c r="R4" s="453" t="s">
        <v>20</v>
      </c>
      <c r="S4" s="560">
        <v>41886</v>
      </c>
      <c r="T4" s="453" t="s">
        <v>21</v>
      </c>
      <c r="U4" s="559"/>
    </row>
    <row r="5" spans="1:25" ht="21" customHeight="1" x14ac:dyDescent="0.25">
      <c r="A5" s="566"/>
      <c r="B5" s="567"/>
      <c r="C5" s="568"/>
      <c r="D5" s="567"/>
      <c r="E5" s="569"/>
      <c r="F5" s="569"/>
      <c r="G5" s="39" t="s">
        <v>22</v>
      </c>
      <c r="H5" s="40" t="s">
        <v>23</v>
      </c>
      <c r="I5" s="556"/>
      <c r="J5" s="254" t="s">
        <v>24</v>
      </c>
      <c r="K5" s="38" t="s">
        <v>24</v>
      </c>
      <c r="L5" s="38" t="s">
        <v>24</v>
      </c>
      <c r="M5" s="41" t="s">
        <v>24</v>
      </c>
      <c r="N5" s="556"/>
      <c r="O5" s="556"/>
      <c r="P5" s="556"/>
      <c r="Q5" s="556"/>
      <c r="R5" s="453"/>
      <c r="S5" s="560"/>
      <c r="T5" s="560"/>
      <c r="U5" s="559"/>
    </row>
    <row r="6" spans="1:25" x14ac:dyDescent="0.25">
      <c r="A6" s="1">
        <v>1</v>
      </c>
      <c r="B6" s="255">
        <v>2</v>
      </c>
      <c r="C6" s="43">
        <v>3</v>
      </c>
      <c r="D6" s="42">
        <v>4</v>
      </c>
      <c r="E6" s="43">
        <v>5</v>
      </c>
      <c r="F6" s="42">
        <v>6</v>
      </c>
      <c r="G6" s="43">
        <v>7</v>
      </c>
      <c r="H6" s="42">
        <v>8</v>
      </c>
      <c r="I6" s="254">
        <v>3</v>
      </c>
      <c r="J6" s="254">
        <v>4</v>
      </c>
      <c r="K6" s="43">
        <v>5</v>
      </c>
      <c r="L6" s="43">
        <v>6</v>
      </c>
      <c r="M6" s="44">
        <v>7</v>
      </c>
      <c r="N6" s="255">
        <v>5</v>
      </c>
      <c r="O6" s="254">
        <v>6</v>
      </c>
      <c r="P6" s="255">
        <v>7</v>
      </c>
      <c r="Q6" s="43">
        <v>11</v>
      </c>
      <c r="R6" s="43">
        <v>12</v>
      </c>
      <c r="S6" s="42">
        <v>20</v>
      </c>
      <c r="T6" s="43">
        <v>13</v>
      </c>
      <c r="U6" s="45">
        <v>14</v>
      </c>
    </row>
    <row r="7" spans="1:25" s="2" customFormat="1" ht="39.75" hidden="1" customHeight="1" x14ac:dyDescent="0.3">
      <c r="A7" s="554" t="s">
        <v>25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Y7" s="2" t="s">
        <v>26</v>
      </c>
    </row>
    <row r="8" spans="1:25" s="3" customFormat="1" ht="55.35" hidden="1" customHeight="1" x14ac:dyDescent="0.3">
      <c r="A8" s="515">
        <v>1</v>
      </c>
      <c r="B8" s="511" t="s">
        <v>27</v>
      </c>
      <c r="C8" s="517">
        <v>1980</v>
      </c>
      <c r="D8" s="465" t="s">
        <v>28</v>
      </c>
      <c r="E8" s="518">
        <v>9</v>
      </c>
      <c r="F8" s="518">
        <v>6</v>
      </c>
      <c r="G8" s="519">
        <v>6379.02</v>
      </c>
      <c r="H8" s="511">
        <v>314</v>
      </c>
      <c r="I8" s="46" t="s">
        <v>29</v>
      </c>
      <c r="J8" s="47">
        <v>400616</v>
      </c>
      <c r="K8" s="512">
        <f>J8+J9+J10+J11+J12</f>
        <v>4308886.7</v>
      </c>
      <c r="L8" s="512">
        <f>4305773.62+3113.08</f>
        <v>4308886.7</v>
      </c>
      <c r="M8" s="513">
        <f>K8-L8</f>
        <v>0</v>
      </c>
      <c r="N8" s="48" t="s">
        <v>30</v>
      </c>
      <c r="O8" s="49">
        <v>41908</v>
      </c>
      <c r="P8" s="50">
        <v>42050</v>
      </c>
      <c r="Q8" s="481" t="s">
        <v>31</v>
      </c>
      <c r="R8" s="51">
        <v>1</v>
      </c>
      <c r="S8" s="52">
        <v>0</v>
      </c>
      <c r="T8" s="430">
        <f>AVERAGE(R8:R11)</f>
        <v>0.97499999999999998</v>
      </c>
      <c r="U8" s="553" t="s">
        <v>32</v>
      </c>
    </row>
    <row r="9" spans="1:25" s="3" customFormat="1" ht="35.25" hidden="1" customHeight="1" x14ac:dyDescent="0.3">
      <c r="A9" s="515"/>
      <c r="B9" s="511"/>
      <c r="C9" s="517"/>
      <c r="D9" s="465"/>
      <c r="E9" s="518"/>
      <c r="F9" s="518"/>
      <c r="G9" s="519"/>
      <c r="H9" s="511"/>
      <c r="I9" s="53" t="s">
        <v>33</v>
      </c>
      <c r="J9" s="47">
        <v>429626.7</v>
      </c>
      <c r="K9" s="512"/>
      <c r="L9" s="512"/>
      <c r="M9" s="513"/>
      <c r="N9" s="48" t="s">
        <v>34</v>
      </c>
      <c r="O9" s="50">
        <v>41991</v>
      </c>
      <c r="P9" s="50">
        <v>42083</v>
      </c>
      <c r="Q9" s="481"/>
      <c r="R9" s="51">
        <v>1</v>
      </c>
      <c r="S9" s="52"/>
      <c r="T9" s="431"/>
      <c r="U9" s="553"/>
    </row>
    <row r="10" spans="1:25" s="3" customFormat="1" ht="55.5" hidden="1" customHeight="1" x14ac:dyDescent="0.3">
      <c r="A10" s="515"/>
      <c r="B10" s="511"/>
      <c r="C10" s="517"/>
      <c r="D10" s="465"/>
      <c r="E10" s="518"/>
      <c r="F10" s="518"/>
      <c r="G10" s="519"/>
      <c r="H10" s="511"/>
      <c r="I10" s="54" t="s">
        <v>35</v>
      </c>
      <c r="J10" s="47">
        <f>1299430.3-3113.08</f>
        <v>1296317.22</v>
      </c>
      <c r="K10" s="512"/>
      <c r="L10" s="512"/>
      <c r="M10" s="513"/>
      <c r="N10" s="48" t="s">
        <v>36</v>
      </c>
      <c r="O10" s="49">
        <v>41908</v>
      </c>
      <c r="P10" s="50">
        <v>42050</v>
      </c>
      <c r="Q10" s="481"/>
      <c r="R10" s="51">
        <v>1</v>
      </c>
      <c r="S10" s="52"/>
      <c r="T10" s="431"/>
      <c r="U10" s="553"/>
    </row>
    <row r="11" spans="1:25" s="3" customFormat="1" ht="51.75" hidden="1" customHeight="1" x14ac:dyDescent="0.3">
      <c r="A11" s="515"/>
      <c r="B11" s="511"/>
      <c r="C11" s="517"/>
      <c r="D11" s="465"/>
      <c r="E11" s="518"/>
      <c r="F11" s="518"/>
      <c r="G11" s="519"/>
      <c r="H11" s="511"/>
      <c r="I11" s="53" t="s">
        <v>37</v>
      </c>
      <c r="J11" s="55">
        <v>2179213.7000000002</v>
      </c>
      <c r="K11" s="512"/>
      <c r="L11" s="512"/>
      <c r="M11" s="513"/>
      <c r="N11" s="48" t="s">
        <v>34</v>
      </c>
      <c r="O11" s="50">
        <v>41991</v>
      </c>
      <c r="P11" s="50">
        <v>42124</v>
      </c>
      <c r="Q11" s="481"/>
      <c r="R11" s="51">
        <v>0.9</v>
      </c>
      <c r="S11" s="52"/>
      <c r="T11" s="431"/>
      <c r="U11" s="56" t="s">
        <v>38</v>
      </c>
    </row>
    <row r="12" spans="1:25" s="242" customFormat="1" ht="61.9" customHeight="1" x14ac:dyDescent="0.25">
      <c r="A12" s="451"/>
      <c r="B12" s="457"/>
      <c r="C12" s="57"/>
      <c r="D12" s="58"/>
      <c r="E12" s="59"/>
      <c r="F12" s="59"/>
      <c r="G12" s="60"/>
      <c r="H12" s="61"/>
      <c r="I12" s="53" t="s">
        <v>39</v>
      </c>
      <c r="J12" s="241">
        <v>3113.08</v>
      </c>
      <c r="K12" s="512"/>
      <c r="L12" s="512"/>
      <c r="M12" s="524"/>
      <c r="N12" s="253" t="s">
        <v>40</v>
      </c>
      <c r="O12" s="50">
        <v>42100</v>
      </c>
      <c r="P12" s="50">
        <v>42130</v>
      </c>
      <c r="Q12" s="62"/>
      <c r="R12" s="51"/>
      <c r="S12" s="52"/>
      <c r="T12" s="432"/>
      <c r="U12" s="64"/>
    </row>
    <row r="13" spans="1:25" s="3" customFormat="1" ht="60" hidden="1" customHeight="1" x14ac:dyDescent="0.3">
      <c r="A13" s="549">
        <v>2</v>
      </c>
      <c r="B13" s="551" t="s">
        <v>41</v>
      </c>
      <c r="C13" s="65">
        <v>1958</v>
      </c>
      <c r="D13" s="66" t="s">
        <v>42</v>
      </c>
      <c r="E13" s="67">
        <v>4</v>
      </c>
      <c r="F13" s="67">
        <v>2</v>
      </c>
      <c r="G13" s="68">
        <v>2130.4</v>
      </c>
      <c r="H13" s="69">
        <v>49</v>
      </c>
      <c r="I13" s="53" t="s">
        <v>43</v>
      </c>
      <c r="J13" s="47">
        <f>800000-7574.82</f>
        <v>792425.18</v>
      </c>
      <c r="K13" s="512">
        <f>J13+J14</f>
        <v>800000</v>
      </c>
      <c r="L13" s="512">
        <f>K13</f>
        <v>800000</v>
      </c>
      <c r="M13" s="185">
        <f>K13-L13</f>
        <v>0</v>
      </c>
      <c r="N13" s="48" t="s">
        <v>44</v>
      </c>
      <c r="O13" s="49">
        <v>41967</v>
      </c>
      <c r="P13" s="50">
        <v>42050</v>
      </c>
      <c r="Q13" s="71" t="s">
        <v>45</v>
      </c>
      <c r="R13" s="51">
        <v>1</v>
      </c>
      <c r="S13" s="72"/>
      <c r="T13" s="430">
        <f>AVERAGE(R13:R13)</f>
        <v>1</v>
      </c>
      <c r="U13" s="73"/>
    </row>
    <row r="14" spans="1:25" s="242" customFormat="1" ht="63.95" customHeight="1" x14ac:dyDescent="0.25">
      <c r="A14" s="550"/>
      <c r="B14" s="552"/>
      <c r="C14" s="239"/>
      <c r="D14" s="66"/>
      <c r="E14" s="67"/>
      <c r="F14" s="67"/>
      <c r="G14" s="68"/>
      <c r="H14" s="69"/>
      <c r="I14" s="53" t="s">
        <v>39</v>
      </c>
      <c r="J14" s="243">
        <v>7574.82</v>
      </c>
      <c r="K14" s="512"/>
      <c r="L14" s="512"/>
      <c r="M14" s="70"/>
      <c r="N14" s="253" t="s">
        <v>40</v>
      </c>
      <c r="O14" s="50">
        <v>42100</v>
      </c>
      <c r="P14" s="50">
        <v>42130</v>
      </c>
      <c r="Q14" s="62"/>
      <c r="R14" s="51"/>
      <c r="S14" s="72"/>
      <c r="T14" s="432"/>
      <c r="U14" s="73"/>
    </row>
    <row r="15" spans="1:25" s="3" customFormat="1" ht="63" hidden="1" customHeight="1" x14ac:dyDescent="0.3">
      <c r="A15" s="545">
        <v>3</v>
      </c>
      <c r="B15" s="546" t="s">
        <v>46</v>
      </c>
      <c r="C15" s="57">
        <v>1990</v>
      </c>
      <c r="D15" s="58" t="s">
        <v>47</v>
      </c>
      <c r="E15" s="59">
        <v>9</v>
      </c>
      <c r="F15" s="59">
        <v>2</v>
      </c>
      <c r="G15" s="60">
        <v>3172.9</v>
      </c>
      <c r="H15" s="61">
        <v>120</v>
      </c>
      <c r="I15" s="46" t="s">
        <v>48</v>
      </c>
      <c r="J15" s="55">
        <f>3200000-3000.04</f>
        <v>3196999.96</v>
      </c>
      <c r="K15" s="512">
        <f>J15+J16</f>
        <v>3200000</v>
      </c>
      <c r="L15" s="512">
        <f>3196999.96+3000.04</f>
        <v>3200000</v>
      </c>
      <c r="M15" s="186">
        <f>K15-L15</f>
        <v>0</v>
      </c>
      <c r="N15" s="46" t="s">
        <v>49</v>
      </c>
      <c r="O15" s="49">
        <v>41985</v>
      </c>
      <c r="P15" s="49">
        <v>42063</v>
      </c>
      <c r="Q15" s="75" t="s">
        <v>50</v>
      </c>
      <c r="R15" s="51">
        <v>1</v>
      </c>
      <c r="S15" s="72"/>
      <c r="T15" s="547">
        <f>R15</f>
        <v>1</v>
      </c>
      <c r="U15" s="73"/>
    </row>
    <row r="16" spans="1:25" s="242" customFormat="1" ht="68.25" customHeight="1" x14ac:dyDescent="0.25">
      <c r="A16" s="451"/>
      <c r="B16" s="457"/>
      <c r="C16" s="57"/>
      <c r="D16" s="58"/>
      <c r="E16" s="59"/>
      <c r="F16" s="59"/>
      <c r="G16" s="60"/>
      <c r="H16" s="61"/>
      <c r="I16" s="53" t="s">
        <v>39</v>
      </c>
      <c r="J16" s="241">
        <v>3000.04</v>
      </c>
      <c r="K16" s="512"/>
      <c r="L16" s="512"/>
      <c r="M16" s="74"/>
      <c r="N16" s="253" t="s">
        <v>40</v>
      </c>
      <c r="O16" s="50">
        <v>42100</v>
      </c>
      <c r="P16" s="50">
        <v>42130</v>
      </c>
      <c r="Q16" s="75"/>
      <c r="R16" s="51"/>
      <c r="S16" s="72"/>
      <c r="T16" s="548"/>
      <c r="U16" s="73"/>
    </row>
    <row r="17" spans="1:21" s="3" customFormat="1" ht="65.25" hidden="1" customHeight="1" x14ac:dyDescent="0.3">
      <c r="A17" s="515">
        <v>4</v>
      </c>
      <c r="B17" s="511" t="s">
        <v>51</v>
      </c>
      <c r="C17" s="57">
        <v>1984</v>
      </c>
      <c r="D17" s="58" t="s">
        <v>52</v>
      </c>
      <c r="E17" s="59">
        <v>9</v>
      </c>
      <c r="F17" s="59">
        <v>4</v>
      </c>
      <c r="G17" s="60">
        <v>5063.3999999999996</v>
      </c>
      <c r="H17" s="61">
        <v>216</v>
      </c>
      <c r="I17" s="46" t="s">
        <v>48</v>
      </c>
      <c r="J17" s="55">
        <f>1600000-14127.67</f>
        <v>1585872.33</v>
      </c>
      <c r="K17" s="512">
        <f>J17+J18</f>
        <v>1600000</v>
      </c>
      <c r="L17" s="512">
        <f>1585872.33+14127.67</f>
        <v>1600000</v>
      </c>
      <c r="M17" s="186">
        <f>K17-L17</f>
        <v>0</v>
      </c>
      <c r="N17" s="48" t="s">
        <v>53</v>
      </c>
      <c r="O17" s="49">
        <v>41967</v>
      </c>
      <c r="P17" s="49">
        <v>42063</v>
      </c>
      <c r="Q17" s="62" t="s">
        <v>54</v>
      </c>
      <c r="R17" s="51">
        <v>1</v>
      </c>
      <c r="S17" s="72"/>
      <c r="T17" s="547">
        <f>R17</f>
        <v>1</v>
      </c>
      <c r="U17" s="76"/>
    </row>
    <row r="18" spans="1:21" s="242" customFormat="1" ht="74.650000000000006" customHeight="1" x14ac:dyDescent="0.25">
      <c r="A18" s="516"/>
      <c r="B18" s="457"/>
      <c r="C18" s="57"/>
      <c r="D18" s="58"/>
      <c r="E18" s="59"/>
      <c r="F18" s="59"/>
      <c r="G18" s="60"/>
      <c r="H18" s="61"/>
      <c r="I18" s="53" t="s">
        <v>39</v>
      </c>
      <c r="J18" s="241">
        <v>14127.67</v>
      </c>
      <c r="K18" s="512"/>
      <c r="L18" s="512"/>
      <c r="M18" s="74"/>
      <c r="N18" s="253" t="s">
        <v>40</v>
      </c>
      <c r="O18" s="50">
        <v>42100</v>
      </c>
      <c r="P18" s="50">
        <v>42130</v>
      </c>
      <c r="Q18" s="75"/>
      <c r="R18" s="51"/>
      <c r="S18" s="72"/>
      <c r="T18" s="548"/>
      <c r="U18" s="76"/>
    </row>
    <row r="19" spans="1:21" s="4" customFormat="1" ht="33" hidden="1" customHeight="1" x14ac:dyDescent="0.3">
      <c r="A19" s="534">
        <v>5</v>
      </c>
      <c r="B19" s="527" t="s">
        <v>55</v>
      </c>
      <c r="C19" s="535">
        <v>1970</v>
      </c>
      <c r="D19" s="536" t="s">
        <v>56</v>
      </c>
      <c r="E19" s="537">
        <v>5</v>
      </c>
      <c r="F19" s="537">
        <v>5</v>
      </c>
      <c r="G19" s="538">
        <v>4477.6000000000004</v>
      </c>
      <c r="H19" s="527">
        <v>150</v>
      </c>
      <c r="I19" s="17" t="s">
        <v>57</v>
      </c>
      <c r="J19" s="18">
        <f>1252977-212231.32</f>
        <v>1040745.6799999999</v>
      </c>
      <c r="K19" s="528">
        <f>J19+J20+J21</f>
        <v>2994299.9999999995</v>
      </c>
      <c r="L19" s="528">
        <f>2782068.68+212231.32</f>
        <v>2994300</v>
      </c>
      <c r="M19" s="529">
        <f>K19-L19</f>
        <v>0</v>
      </c>
      <c r="N19" s="544" t="s">
        <v>58</v>
      </c>
      <c r="O19" s="470">
        <v>41956</v>
      </c>
      <c r="P19" s="77">
        <v>42050</v>
      </c>
      <c r="Q19" s="525" t="s">
        <v>59</v>
      </c>
      <c r="R19" s="20">
        <v>1</v>
      </c>
      <c r="S19" s="21"/>
      <c r="T19" s="526">
        <f>AVERAGE(R19:R20)</f>
        <v>1</v>
      </c>
      <c r="U19" s="78"/>
    </row>
    <row r="20" spans="1:21" s="5" customFormat="1" ht="24" hidden="1" customHeight="1" x14ac:dyDescent="0.3">
      <c r="A20" s="534"/>
      <c r="B20" s="527"/>
      <c r="C20" s="535"/>
      <c r="D20" s="536"/>
      <c r="E20" s="537"/>
      <c r="F20" s="537"/>
      <c r="G20" s="538"/>
      <c r="H20" s="527"/>
      <c r="I20" s="79" t="s">
        <v>43</v>
      </c>
      <c r="J20" s="80">
        <v>1741323</v>
      </c>
      <c r="K20" s="528"/>
      <c r="L20" s="528"/>
      <c r="M20" s="529"/>
      <c r="N20" s="544"/>
      <c r="O20" s="470"/>
      <c r="P20" s="77">
        <v>42050</v>
      </c>
      <c r="Q20" s="525"/>
      <c r="R20" s="20">
        <v>1</v>
      </c>
      <c r="S20" s="81"/>
      <c r="T20" s="526"/>
      <c r="U20" s="82"/>
    </row>
    <row r="21" spans="1:21" s="5" customFormat="1" ht="53.25" hidden="1" customHeight="1" x14ac:dyDescent="0.3">
      <c r="A21" s="534"/>
      <c r="B21" s="527"/>
      <c r="C21" s="29"/>
      <c r="D21" s="30"/>
      <c r="E21" s="31"/>
      <c r="F21" s="31"/>
      <c r="G21" s="32"/>
      <c r="H21" s="33"/>
      <c r="I21" s="83" t="s">
        <v>60</v>
      </c>
      <c r="J21" s="18">
        <v>212231.32</v>
      </c>
      <c r="K21" s="528"/>
      <c r="L21" s="528"/>
      <c r="M21" s="187"/>
      <c r="N21" s="26" t="s">
        <v>61</v>
      </c>
      <c r="O21" s="28">
        <v>42100</v>
      </c>
      <c r="P21" s="77">
        <v>42130</v>
      </c>
      <c r="Q21" s="35"/>
      <c r="R21" s="20"/>
      <c r="S21" s="81"/>
      <c r="T21" s="36"/>
      <c r="U21" s="84"/>
    </row>
    <row r="22" spans="1:21" s="4" customFormat="1" ht="41.25" hidden="1" customHeight="1" x14ac:dyDescent="0.3">
      <c r="A22" s="534">
        <v>6</v>
      </c>
      <c r="B22" s="527" t="s">
        <v>62</v>
      </c>
      <c r="C22" s="535">
        <v>1974</v>
      </c>
      <c r="D22" s="536" t="s">
        <v>63</v>
      </c>
      <c r="E22" s="537">
        <v>5</v>
      </c>
      <c r="F22" s="537">
        <v>8</v>
      </c>
      <c r="G22" s="538">
        <v>6246.9</v>
      </c>
      <c r="H22" s="527">
        <v>125</v>
      </c>
      <c r="I22" s="24" t="s">
        <v>64</v>
      </c>
      <c r="J22" s="18">
        <v>600000</v>
      </c>
      <c r="K22" s="528">
        <f>J22+J23+J24+J25+J26</f>
        <v>4434700</v>
      </c>
      <c r="L22" s="528">
        <f>3397122.26+1037577.74</f>
        <v>4434700</v>
      </c>
      <c r="M22" s="529">
        <f>K22-L22</f>
        <v>0</v>
      </c>
      <c r="N22" s="544" t="s">
        <v>65</v>
      </c>
      <c r="O22" s="470">
        <v>41956</v>
      </c>
      <c r="P22" s="77">
        <v>42050</v>
      </c>
      <c r="Q22" s="525" t="s">
        <v>66</v>
      </c>
      <c r="R22" s="20">
        <v>1</v>
      </c>
      <c r="S22" s="21"/>
      <c r="T22" s="206">
        <f>AVERAGE(R22:R25)</f>
        <v>1</v>
      </c>
      <c r="U22" s="78"/>
    </row>
    <row r="23" spans="1:21" s="4" customFormat="1" ht="34.5" hidden="1" customHeight="1" x14ac:dyDescent="0.3">
      <c r="A23" s="534"/>
      <c r="B23" s="527"/>
      <c r="C23" s="535"/>
      <c r="D23" s="536"/>
      <c r="E23" s="537"/>
      <c r="F23" s="537"/>
      <c r="G23" s="538"/>
      <c r="H23" s="527"/>
      <c r="I23" s="24" t="s">
        <v>37</v>
      </c>
      <c r="J23" s="18">
        <f>1818070-1037577.74+400000</f>
        <v>1180492.26</v>
      </c>
      <c r="K23" s="528"/>
      <c r="L23" s="528"/>
      <c r="M23" s="529"/>
      <c r="N23" s="544"/>
      <c r="O23" s="470"/>
      <c r="P23" s="77">
        <v>42050</v>
      </c>
      <c r="Q23" s="525"/>
      <c r="R23" s="20">
        <v>1</v>
      </c>
      <c r="S23" s="21"/>
      <c r="T23" s="207"/>
      <c r="U23" s="85"/>
    </row>
    <row r="24" spans="1:21" s="5" customFormat="1" ht="39" hidden="1" customHeight="1" x14ac:dyDescent="0.3">
      <c r="A24" s="534"/>
      <c r="B24" s="527"/>
      <c r="C24" s="535"/>
      <c r="D24" s="536"/>
      <c r="E24" s="537"/>
      <c r="F24" s="537"/>
      <c r="G24" s="538"/>
      <c r="H24" s="527"/>
      <c r="I24" s="86" t="s">
        <v>67</v>
      </c>
      <c r="J24" s="80">
        <v>400000</v>
      </c>
      <c r="K24" s="528"/>
      <c r="L24" s="528"/>
      <c r="M24" s="529"/>
      <c r="N24" s="544"/>
      <c r="O24" s="470"/>
      <c r="P24" s="87"/>
      <c r="Q24" s="525"/>
      <c r="R24" s="88"/>
      <c r="S24" s="81"/>
      <c r="T24" s="207"/>
      <c r="U24" s="89"/>
    </row>
    <row r="25" spans="1:21" s="4" customFormat="1" ht="24.75" hidden="1" customHeight="1" x14ac:dyDescent="0.3">
      <c r="A25" s="534"/>
      <c r="B25" s="527"/>
      <c r="C25" s="535"/>
      <c r="D25" s="536"/>
      <c r="E25" s="537"/>
      <c r="F25" s="537"/>
      <c r="G25" s="538"/>
      <c r="H25" s="527"/>
      <c r="I25" s="24" t="s">
        <v>35</v>
      </c>
      <c r="J25" s="18">
        <v>1616630</v>
      </c>
      <c r="K25" s="528"/>
      <c r="L25" s="528"/>
      <c r="M25" s="529"/>
      <c r="N25" s="544"/>
      <c r="O25" s="470"/>
      <c r="P25" s="77">
        <v>42050</v>
      </c>
      <c r="Q25" s="525"/>
      <c r="R25" s="20">
        <v>1</v>
      </c>
      <c r="S25" s="21"/>
      <c r="T25" s="208"/>
      <c r="U25" s="85"/>
    </row>
    <row r="26" spans="1:21" s="4" customFormat="1" ht="50.1" hidden="1" customHeight="1" x14ac:dyDescent="0.3">
      <c r="A26" s="534"/>
      <c r="B26" s="527"/>
      <c r="C26" s="29"/>
      <c r="D26" s="30"/>
      <c r="E26" s="31"/>
      <c r="F26" s="31"/>
      <c r="G26" s="32"/>
      <c r="H26" s="33"/>
      <c r="I26" s="24" t="s">
        <v>68</v>
      </c>
      <c r="J26" s="18">
        <f>1037577.74-400000</f>
        <v>637577.74</v>
      </c>
      <c r="K26" s="34"/>
      <c r="L26" s="34"/>
      <c r="M26" s="187"/>
      <c r="N26" s="26" t="s">
        <v>69</v>
      </c>
      <c r="O26" s="28">
        <v>42100</v>
      </c>
      <c r="P26" s="77">
        <v>42130</v>
      </c>
      <c r="Q26" s="35"/>
      <c r="R26" s="20"/>
      <c r="S26" s="21"/>
      <c r="T26" s="36"/>
      <c r="U26" s="85"/>
    </row>
    <row r="27" spans="1:21" s="3" customFormat="1" ht="42.75" hidden="1" customHeight="1" x14ac:dyDescent="0.3">
      <c r="A27" s="515">
        <v>5</v>
      </c>
      <c r="B27" s="511" t="s">
        <v>70</v>
      </c>
      <c r="C27" s="517">
        <v>1968</v>
      </c>
      <c r="D27" s="465" t="s">
        <v>71</v>
      </c>
      <c r="E27" s="518">
        <v>5</v>
      </c>
      <c r="F27" s="518">
        <v>6</v>
      </c>
      <c r="G27" s="519">
        <v>4809.8</v>
      </c>
      <c r="H27" s="511">
        <v>195</v>
      </c>
      <c r="I27" s="53" t="s">
        <v>67</v>
      </c>
      <c r="J27" s="55">
        <v>350000</v>
      </c>
      <c r="K27" s="512">
        <f>J27+J29+J28+J30+J31</f>
        <v>4338529.9999999991</v>
      </c>
      <c r="L27" s="512">
        <f>4305928.94+32601.06</f>
        <v>4338530</v>
      </c>
      <c r="M27" s="513">
        <f>K27-L27</f>
        <v>0</v>
      </c>
      <c r="N27" s="452" t="s">
        <v>72</v>
      </c>
      <c r="O27" s="543">
        <v>41921</v>
      </c>
      <c r="P27" s="49">
        <v>42063</v>
      </c>
      <c r="Q27" s="481" t="s">
        <v>73</v>
      </c>
      <c r="R27" s="51">
        <v>1</v>
      </c>
      <c r="S27" s="52"/>
      <c r="T27" s="468">
        <f>AVERAGE(R27:R30)</f>
        <v>0.98750000000000004</v>
      </c>
      <c r="U27" s="76"/>
    </row>
    <row r="28" spans="1:21" s="3" customFormat="1" ht="42.75" hidden="1" customHeight="1" x14ac:dyDescent="0.3">
      <c r="A28" s="515"/>
      <c r="B28" s="511"/>
      <c r="C28" s="517"/>
      <c r="D28" s="465"/>
      <c r="E28" s="518"/>
      <c r="F28" s="518"/>
      <c r="G28" s="519"/>
      <c r="H28" s="511"/>
      <c r="I28" s="46" t="s">
        <v>35</v>
      </c>
      <c r="J28" s="55">
        <v>752744</v>
      </c>
      <c r="K28" s="512"/>
      <c r="L28" s="512"/>
      <c r="M28" s="513"/>
      <c r="N28" s="452"/>
      <c r="O28" s="543"/>
      <c r="P28" s="50">
        <v>42050</v>
      </c>
      <c r="Q28" s="481"/>
      <c r="R28" s="51">
        <v>1</v>
      </c>
      <c r="S28" s="52"/>
      <c r="T28" s="468"/>
      <c r="U28" s="76"/>
    </row>
    <row r="29" spans="1:21" s="3" customFormat="1" ht="55.35" hidden="1" customHeight="1" x14ac:dyDescent="0.3">
      <c r="A29" s="515"/>
      <c r="B29" s="511"/>
      <c r="C29" s="517"/>
      <c r="D29" s="465"/>
      <c r="E29" s="518"/>
      <c r="F29" s="518"/>
      <c r="G29" s="519"/>
      <c r="H29" s="511"/>
      <c r="I29" s="46" t="s">
        <v>57</v>
      </c>
      <c r="J29" s="55">
        <v>668395</v>
      </c>
      <c r="K29" s="512"/>
      <c r="L29" s="512"/>
      <c r="M29" s="513"/>
      <c r="N29" s="452"/>
      <c r="O29" s="543"/>
      <c r="P29" s="50">
        <v>42124</v>
      </c>
      <c r="Q29" s="481" t="s">
        <v>38</v>
      </c>
      <c r="R29" s="51">
        <v>0.95</v>
      </c>
      <c r="S29" s="52"/>
      <c r="T29" s="468"/>
      <c r="U29" s="56" t="s">
        <v>38</v>
      </c>
    </row>
    <row r="30" spans="1:21" s="3" customFormat="1" ht="27.75" hidden="1" customHeight="1" x14ac:dyDescent="0.3">
      <c r="A30" s="515"/>
      <c r="B30" s="511"/>
      <c r="C30" s="517"/>
      <c r="D30" s="465"/>
      <c r="E30" s="518"/>
      <c r="F30" s="518"/>
      <c r="G30" s="519"/>
      <c r="H30" s="511"/>
      <c r="I30" s="46" t="s">
        <v>43</v>
      </c>
      <c r="J30" s="55">
        <f>2567391-32601.06</f>
        <v>2534789.94</v>
      </c>
      <c r="K30" s="512"/>
      <c r="L30" s="512"/>
      <c r="M30" s="513"/>
      <c r="N30" s="452"/>
      <c r="O30" s="543"/>
      <c r="P30" s="50">
        <v>42050</v>
      </c>
      <c r="Q30" s="481"/>
      <c r="R30" s="51">
        <v>1</v>
      </c>
      <c r="S30" s="52"/>
      <c r="T30" s="468"/>
      <c r="U30" s="73"/>
    </row>
    <row r="31" spans="1:21" s="242" customFormat="1" ht="69.2" customHeight="1" x14ac:dyDescent="0.25">
      <c r="A31" s="516"/>
      <c r="B31" s="457"/>
      <c r="C31" s="57"/>
      <c r="D31" s="58"/>
      <c r="E31" s="59"/>
      <c r="F31" s="59"/>
      <c r="G31" s="60"/>
      <c r="H31" s="61"/>
      <c r="I31" s="53" t="s">
        <v>39</v>
      </c>
      <c r="J31" s="241">
        <v>32601.06</v>
      </c>
      <c r="K31" s="512"/>
      <c r="L31" s="512"/>
      <c r="M31" s="524"/>
      <c r="N31" s="253" t="s">
        <v>40</v>
      </c>
      <c r="O31" s="50">
        <v>42100</v>
      </c>
      <c r="P31" s="50">
        <v>42130</v>
      </c>
      <c r="Q31" s="75"/>
      <c r="R31" s="51"/>
      <c r="S31" s="52"/>
      <c r="T31" s="63"/>
      <c r="U31" s="73"/>
    </row>
    <row r="32" spans="1:21" s="3" customFormat="1" ht="36.75" hidden="1" customHeight="1" x14ac:dyDescent="0.3">
      <c r="A32" s="515">
        <v>6</v>
      </c>
      <c r="B32" s="511" t="s">
        <v>74</v>
      </c>
      <c r="C32" s="517">
        <v>1988</v>
      </c>
      <c r="D32" s="465" t="s">
        <v>75</v>
      </c>
      <c r="E32" s="518">
        <v>9</v>
      </c>
      <c r="F32" s="518">
        <v>4</v>
      </c>
      <c r="G32" s="519">
        <v>5533.8</v>
      </c>
      <c r="H32" s="511">
        <v>209</v>
      </c>
      <c r="I32" s="53" t="s">
        <v>57</v>
      </c>
      <c r="J32" s="55">
        <f>600000-61511.71</f>
        <v>538488.29</v>
      </c>
      <c r="K32" s="512">
        <f>J32+J33+J34+J35</f>
        <v>7350000</v>
      </c>
      <c r="L32" s="512">
        <f>7288488.29+61511.71</f>
        <v>7350000</v>
      </c>
      <c r="M32" s="513">
        <f>K32-L32</f>
        <v>0</v>
      </c>
      <c r="N32" s="542" t="s">
        <v>76</v>
      </c>
      <c r="O32" s="486">
        <v>41957</v>
      </c>
      <c r="P32" s="486">
        <v>42077</v>
      </c>
      <c r="Q32" s="481" t="s">
        <v>77</v>
      </c>
      <c r="R32" s="51">
        <v>1</v>
      </c>
      <c r="S32" s="52"/>
      <c r="T32" s="468">
        <f>AVERAGE(R32:R34)</f>
        <v>1</v>
      </c>
      <c r="U32" s="73"/>
    </row>
    <row r="33" spans="1:21" s="3" customFormat="1" ht="36.75" hidden="1" customHeight="1" x14ac:dyDescent="0.3">
      <c r="A33" s="515"/>
      <c r="B33" s="511"/>
      <c r="C33" s="517"/>
      <c r="D33" s="465"/>
      <c r="E33" s="518"/>
      <c r="F33" s="518"/>
      <c r="G33" s="519"/>
      <c r="H33" s="511"/>
      <c r="I33" s="53" t="s">
        <v>67</v>
      </c>
      <c r="J33" s="55">
        <v>350000</v>
      </c>
      <c r="K33" s="512"/>
      <c r="L33" s="512"/>
      <c r="M33" s="513"/>
      <c r="N33" s="542"/>
      <c r="O33" s="486"/>
      <c r="P33" s="486"/>
      <c r="Q33" s="481"/>
      <c r="R33" s="51">
        <v>1</v>
      </c>
      <c r="S33" s="52"/>
      <c r="T33" s="468"/>
      <c r="U33" s="73"/>
    </row>
    <row r="34" spans="1:21" s="3" customFormat="1" ht="65.099999999999994" hidden="1" customHeight="1" x14ac:dyDescent="0.3">
      <c r="A34" s="515"/>
      <c r="B34" s="511"/>
      <c r="C34" s="517"/>
      <c r="D34" s="465"/>
      <c r="E34" s="518"/>
      <c r="F34" s="518"/>
      <c r="G34" s="519"/>
      <c r="H34" s="511"/>
      <c r="I34" s="53" t="s">
        <v>48</v>
      </c>
      <c r="J34" s="55">
        <v>6400000</v>
      </c>
      <c r="K34" s="512"/>
      <c r="L34" s="512"/>
      <c r="M34" s="513"/>
      <c r="N34" s="48" t="s">
        <v>78</v>
      </c>
      <c r="O34" s="49">
        <v>41967</v>
      </c>
      <c r="P34" s="49">
        <v>42063</v>
      </c>
      <c r="Q34" s="481"/>
      <c r="R34" s="51">
        <v>1</v>
      </c>
      <c r="S34" s="21"/>
      <c r="T34" s="468"/>
      <c r="U34" s="73"/>
    </row>
    <row r="35" spans="1:21" s="242" customFormat="1" ht="71.45" customHeight="1" x14ac:dyDescent="0.25">
      <c r="A35" s="516"/>
      <c r="B35" s="457"/>
      <c r="C35" s="57"/>
      <c r="D35" s="58"/>
      <c r="E35" s="59"/>
      <c r="F35" s="59"/>
      <c r="G35" s="60"/>
      <c r="H35" s="61"/>
      <c r="I35" s="53" t="s">
        <v>39</v>
      </c>
      <c r="J35" s="241">
        <v>61511.71</v>
      </c>
      <c r="K35" s="512"/>
      <c r="L35" s="512"/>
      <c r="M35" s="524"/>
      <c r="N35" s="253" t="s">
        <v>40</v>
      </c>
      <c r="O35" s="50">
        <v>42100</v>
      </c>
      <c r="P35" s="50">
        <v>42130</v>
      </c>
      <c r="Q35" s="75"/>
      <c r="R35" s="51"/>
      <c r="S35" s="21"/>
      <c r="T35" s="63"/>
      <c r="U35" s="73"/>
    </row>
    <row r="36" spans="1:21" s="3" customFormat="1" ht="30" hidden="1" customHeight="1" x14ac:dyDescent="0.3">
      <c r="A36" s="515">
        <v>7</v>
      </c>
      <c r="B36" s="511" t="s">
        <v>79</v>
      </c>
      <c r="C36" s="517">
        <v>1987</v>
      </c>
      <c r="D36" s="465" t="s">
        <v>75</v>
      </c>
      <c r="E36" s="518">
        <v>9</v>
      </c>
      <c r="F36" s="518">
        <v>4</v>
      </c>
      <c r="G36" s="519">
        <v>5480.5</v>
      </c>
      <c r="H36" s="511">
        <v>227</v>
      </c>
      <c r="I36" s="53" t="s">
        <v>57</v>
      </c>
      <c r="J36" s="55">
        <f>600000-61511.71</f>
        <v>538488.29</v>
      </c>
      <c r="K36" s="512">
        <f>J36+J38+J37+J39</f>
        <v>7350000</v>
      </c>
      <c r="L36" s="512">
        <f>7288488.29+61511.71</f>
        <v>7350000</v>
      </c>
      <c r="M36" s="513">
        <f>K36-L36</f>
        <v>0</v>
      </c>
      <c r="N36" s="542" t="s">
        <v>80</v>
      </c>
      <c r="O36" s="486">
        <v>41957</v>
      </c>
      <c r="P36" s="486">
        <v>42077</v>
      </c>
      <c r="Q36" s="481" t="s">
        <v>77</v>
      </c>
      <c r="R36" s="51">
        <v>1</v>
      </c>
      <c r="S36" s="52"/>
      <c r="T36" s="468">
        <f>AVERAGE(R36:R38)</f>
        <v>1</v>
      </c>
      <c r="U36" s="73"/>
    </row>
    <row r="37" spans="1:21" s="3" customFormat="1" ht="30" hidden="1" customHeight="1" x14ac:dyDescent="0.3">
      <c r="A37" s="515"/>
      <c r="B37" s="511"/>
      <c r="C37" s="517"/>
      <c r="D37" s="465"/>
      <c r="E37" s="518"/>
      <c r="F37" s="518"/>
      <c r="G37" s="519"/>
      <c r="H37" s="511"/>
      <c r="I37" s="53" t="s">
        <v>67</v>
      </c>
      <c r="J37" s="55">
        <v>350000</v>
      </c>
      <c r="K37" s="512"/>
      <c r="L37" s="512"/>
      <c r="M37" s="513"/>
      <c r="N37" s="542"/>
      <c r="O37" s="486"/>
      <c r="P37" s="486"/>
      <c r="Q37" s="481"/>
      <c r="R37" s="51">
        <v>1</v>
      </c>
      <c r="S37" s="52"/>
      <c r="T37" s="468"/>
      <c r="U37" s="73"/>
    </row>
    <row r="38" spans="1:21" s="3" customFormat="1" ht="73.5" hidden="1" customHeight="1" x14ac:dyDescent="0.3">
      <c r="A38" s="515"/>
      <c r="B38" s="511"/>
      <c r="C38" s="517"/>
      <c r="D38" s="465"/>
      <c r="E38" s="518"/>
      <c r="F38" s="518"/>
      <c r="G38" s="519"/>
      <c r="H38" s="511"/>
      <c r="I38" s="53" t="s">
        <v>48</v>
      </c>
      <c r="J38" s="55">
        <v>6400000</v>
      </c>
      <c r="K38" s="512"/>
      <c r="L38" s="512"/>
      <c r="M38" s="513"/>
      <c r="N38" s="48" t="s">
        <v>81</v>
      </c>
      <c r="O38" s="49">
        <v>41967</v>
      </c>
      <c r="P38" s="49">
        <v>42063</v>
      </c>
      <c r="Q38" s="481"/>
      <c r="R38" s="51">
        <v>1</v>
      </c>
      <c r="S38" s="52"/>
      <c r="T38" s="468"/>
      <c r="U38" s="73"/>
    </row>
    <row r="39" spans="1:21" s="242" customFormat="1" ht="68.25" customHeight="1" x14ac:dyDescent="0.25">
      <c r="A39" s="516"/>
      <c r="B39" s="457"/>
      <c r="C39" s="57"/>
      <c r="D39" s="58"/>
      <c r="E39" s="59"/>
      <c r="F39" s="59"/>
      <c r="G39" s="60"/>
      <c r="H39" s="61"/>
      <c r="I39" s="53" t="s">
        <v>39</v>
      </c>
      <c r="J39" s="241">
        <v>61511.71</v>
      </c>
      <c r="K39" s="512"/>
      <c r="L39" s="512"/>
      <c r="M39" s="74"/>
      <c r="N39" s="253" t="s">
        <v>40</v>
      </c>
      <c r="O39" s="50">
        <v>42100</v>
      </c>
      <c r="P39" s="50">
        <v>42130</v>
      </c>
      <c r="Q39" s="75"/>
      <c r="R39" s="51"/>
      <c r="S39" s="52"/>
      <c r="T39" s="63"/>
      <c r="U39" s="73"/>
    </row>
    <row r="40" spans="1:21" s="3" customFormat="1" ht="39.75" hidden="1" customHeight="1" x14ac:dyDescent="0.3">
      <c r="A40" s="515">
        <v>8</v>
      </c>
      <c r="B40" s="511" t="s">
        <v>82</v>
      </c>
      <c r="C40" s="517">
        <v>1974</v>
      </c>
      <c r="D40" s="465" t="s">
        <v>83</v>
      </c>
      <c r="E40" s="518">
        <v>9</v>
      </c>
      <c r="F40" s="518">
        <v>3</v>
      </c>
      <c r="G40" s="519">
        <v>8424</v>
      </c>
      <c r="H40" s="511">
        <v>264</v>
      </c>
      <c r="I40" s="40" t="s">
        <v>57</v>
      </c>
      <c r="J40" s="47">
        <v>1144784</v>
      </c>
      <c r="K40" s="539">
        <f>J40+J41+J42+J43+J44</f>
        <v>6091947</v>
      </c>
      <c r="L40" s="539">
        <f>6086946.98+5000.02</f>
        <v>6091947</v>
      </c>
      <c r="M40" s="540">
        <f>K40-L40</f>
        <v>0</v>
      </c>
      <c r="N40" s="541" t="s">
        <v>84</v>
      </c>
      <c r="O40" s="460">
        <v>41956</v>
      </c>
      <c r="P40" s="90">
        <v>42063</v>
      </c>
      <c r="Q40" s="532" t="s">
        <v>85</v>
      </c>
      <c r="R40" s="91">
        <v>1</v>
      </c>
      <c r="S40" s="72"/>
      <c r="T40" s="533">
        <f>AVERAGE(R40:R43)</f>
        <v>1</v>
      </c>
      <c r="U40" s="92"/>
    </row>
    <row r="41" spans="1:21" s="3" customFormat="1" ht="32.25" hidden="1" customHeight="1" x14ac:dyDescent="0.3">
      <c r="A41" s="515"/>
      <c r="B41" s="511"/>
      <c r="C41" s="517"/>
      <c r="D41" s="465"/>
      <c r="E41" s="518"/>
      <c r="F41" s="518"/>
      <c r="G41" s="519"/>
      <c r="H41" s="511"/>
      <c r="I41" s="53" t="s">
        <v>37</v>
      </c>
      <c r="J41" s="47">
        <v>2279213</v>
      </c>
      <c r="K41" s="539"/>
      <c r="L41" s="539"/>
      <c r="M41" s="540"/>
      <c r="N41" s="541"/>
      <c r="O41" s="460"/>
      <c r="P41" s="90">
        <v>42063</v>
      </c>
      <c r="Q41" s="532"/>
      <c r="R41" s="91">
        <v>1</v>
      </c>
      <c r="S41" s="72"/>
      <c r="T41" s="533"/>
      <c r="U41" s="92"/>
    </row>
    <row r="42" spans="1:21" s="3" customFormat="1" ht="27" hidden="1" customHeight="1" x14ac:dyDescent="0.3">
      <c r="A42" s="515"/>
      <c r="B42" s="511"/>
      <c r="C42" s="517"/>
      <c r="D42" s="465"/>
      <c r="E42" s="518"/>
      <c r="F42" s="518"/>
      <c r="G42" s="519"/>
      <c r="H42" s="511"/>
      <c r="I42" s="53" t="s">
        <v>35</v>
      </c>
      <c r="J42" s="47">
        <f>1499430-5000.02</f>
        <v>1494429.98</v>
      </c>
      <c r="K42" s="539"/>
      <c r="L42" s="539"/>
      <c r="M42" s="540"/>
      <c r="N42" s="541"/>
      <c r="O42" s="460"/>
      <c r="P42" s="93">
        <v>42050</v>
      </c>
      <c r="Q42" s="532"/>
      <c r="R42" s="91">
        <v>1</v>
      </c>
      <c r="S42" s="72"/>
      <c r="T42" s="533"/>
      <c r="U42" s="92"/>
    </row>
    <row r="43" spans="1:21" s="5" customFormat="1" ht="82.15" hidden="1" customHeight="1" x14ac:dyDescent="0.3">
      <c r="A43" s="515"/>
      <c r="B43" s="511"/>
      <c r="C43" s="517"/>
      <c r="D43" s="465"/>
      <c r="E43" s="518"/>
      <c r="F43" s="518"/>
      <c r="G43" s="519"/>
      <c r="H43" s="511"/>
      <c r="I43" s="40" t="s">
        <v>43</v>
      </c>
      <c r="J43" s="47">
        <v>1168520</v>
      </c>
      <c r="K43" s="539"/>
      <c r="L43" s="539"/>
      <c r="M43" s="540"/>
      <c r="N43" s="38" t="s">
        <v>86</v>
      </c>
      <c r="O43" s="94"/>
      <c r="P43" s="93">
        <v>42050</v>
      </c>
      <c r="Q43" s="532"/>
      <c r="R43" s="91">
        <v>1</v>
      </c>
      <c r="S43" s="72"/>
      <c r="T43" s="533"/>
      <c r="U43" s="92"/>
    </row>
    <row r="44" spans="1:21" s="244" customFormat="1" ht="69.2" customHeight="1" x14ac:dyDescent="0.25">
      <c r="A44" s="516"/>
      <c r="B44" s="457"/>
      <c r="C44" s="57"/>
      <c r="D44" s="58"/>
      <c r="E44" s="59"/>
      <c r="F44" s="59"/>
      <c r="G44" s="60"/>
      <c r="H44" s="61"/>
      <c r="I44" s="53" t="s">
        <v>39</v>
      </c>
      <c r="J44" s="243">
        <v>5000.0200000000004</v>
      </c>
      <c r="K44" s="539"/>
      <c r="L44" s="539"/>
      <c r="M44" s="74"/>
      <c r="N44" s="253" t="s">
        <v>40</v>
      </c>
      <c r="O44" s="50">
        <v>42100</v>
      </c>
      <c r="P44" s="50">
        <v>42130</v>
      </c>
      <c r="Q44" s="75"/>
      <c r="R44" s="51"/>
      <c r="S44" s="72"/>
      <c r="T44" s="95"/>
      <c r="U44" s="92"/>
    </row>
    <row r="45" spans="1:21" s="23" customFormat="1" ht="35.25" hidden="1" customHeight="1" x14ac:dyDescent="0.3">
      <c r="A45" s="534">
        <v>11</v>
      </c>
      <c r="B45" s="527" t="s">
        <v>87</v>
      </c>
      <c r="C45" s="535">
        <v>1966</v>
      </c>
      <c r="D45" s="536" t="s">
        <v>88</v>
      </c>
      <c r="E45" s="537">
        <v>5</v>
      </c>
      <c r="F45" s="537">
        <v>4</v>
      </c>
      <c r="G45" s="538">
        <v>3524.2</v>
      </c>
      <c r="H45" s="527">
        <v>145</v>
      </c>
      <c r="I45" s="17" t="s">
        <v>29</v>
      </c>
      <c r="J45" s="18">
        <v>800000</v>
      </c>
      <c r="K45" s="528">
        <f>J45+J46+J47+J48+J49+J50</f>
        <v>5000000.0000000009</v>
      </c>
      <c r="L45" s="528">
        <f>4274154.14+725845.86</f>
        <v>5000000</v>
      </c>
      <c r="M45" s="529">
        <f>K45-L45</f>
        <v>0</v>
      </c>
      <c r="N45" s="530" t="s">
        <v>89</v>
      </c>
      <c r="O45" s="531">
        <v>41929</v>
      </c>
      <c r="P45" s="19">
        <v>42050</v>
      </c>
      <c r="Q45" s="525" t="s">
        <v>90</v>
      </c>
      <c r="R45" s="20">
        <v>1</v>
      </c>
      <c r="S45" s="21"/>
      <c r="T45" s="526">
        <f>AVERAGE(R45:R49)</f>
        <v>1</v>
      </c>
      <c r="U45" s="22"/>
    </row>
    <row r="46" spans="1:21" s="23" customFormat="1" ht="138.6" hidden="1" customHeight="1" x14ac:dyDescent="0.3">
      <c r="A46" s="534"/>
      <c r="B46" s="527"/>
      <c r="C46" s="535"/>
      <c r="D46" s="536"/>
      <c r="E46" s="537"/>
      <c r="F46" s="537"/>
      <c r="G46" s="538"/>
      <c r="H46" s="527"/>
      <c r="I46" s="24" t="s">
        <v>64</v>
      </c>
      <c r="J46" s="18">
        <v>610000</v>
      </c>
      <c r="K46" s="528"/>
      <c r="L46" s="528"/>
      <c r="M46" s="529"/>
      <c r="N46" s="530"/>
      <c r="O46" s="531"/>
      <c r="P46" s="19">
        <v>42050</v>
      </c>
      <c r="Q46" s="525"/>
      <c r="R46" s="20">
        <v>1</v>
      </c>
      <c r="S46" s="21"/>
      <c r="T46" s="526"/>
      <c r="U46" s="25"/>
    </row>
    <row r="47" spans="1:21" s="23" customFormat="1" ht="35.25" hidden="1" customHeight="1" x14ac:dyDescent="0.3">
      <c r="A47" s="534"/>
      <c r="B47" s="527"/>
      <c r="C47" s="535"/>
      <c r="D47" s="536"/>
      <c r="E47" s="537"/>
      <c r="F47" s="537"/>
      <c r="G47" s="538"/>
      <c r="H47" s="527"/>
      <c r="I47" s="24" t="s">
        <v>37</v>
      </c>
      <c r="J47" s="18">
        <f>1200000-725845.86</f>
        <v>474154.14</v>
      </c>
      <c r="K47" s="528"/>
      <c r="L47" s="528"/>
      <c r="M47" s="529"/>
      <c r="N47" s="530"/>
      <c r="O47" s="531"/>
      <c r="P47" s="19">
        <v>42050</v>
      </c>
      <c r="Q47" s="525"/>
      <c r="R47" s="20">
        <v>1</v>
      </c>
      <c r="S47" s="21"/>
      <c r="T47" s="526"/>
      <c r="U47" s="22"/>
    </row>
    <row r="48" spans="1:21" s="23" customFormat="1" ht="35.25" hidden="1" customHeight="1" x14ac:dyDescent="0.3">
      <c r="A48" s="534"/>
      <c r="B48" s="527"/>
      <c r="C48" s="535"/>
      <c r="D48" s="536"/>
      <c r="E48" s="537"/>
      <c r="F48" s="537"/>
      <c r="G48" s="538"/>
      <c r="H48" s="527"/>
      <c r="I48" s="24" t="s">
        <v>67</v>
      </c>
      <c r="J48" s="18">
        <v>390000</v>
      </c>
      <c r="K48" s="528"/>
      <c r="L48" s="528"/>
      <c r="M48" s="529"/>
      <c r="N48" s="530"/>
      <c r="O48" s="531"/>
      <c r="P48" s="19">
        <v>42050</v>
      </c>
      <c r="Q48" s="525"/>
      <c r="R48" s="20">
        <v>1</v>
      </c>
      <c r="S48" s="21"/>
      <c r="T48" s="526"/>
      <c r="U48" s="22"/>
    </row>
    <row r="49" spans="1:21" s="23" customFormat="1" ht="45" hidden="1" customHeight="1" x14ac:dyDescent="0.3">
      <c r="A49" s="534"/>
      <c r="B49" s="527"/>
      <c r="C49" s="535"/>
      <c r="D49" s="536"/>
      <c r="E49" s="537"/>
      <c r="F49" s="537"/>
      <c r="G49" s="538"/>
      <c r="H49" s="527"/>
      <c r="I49" s="24" t="s">
        <v>35</v>
      </c>
      <c r="J49" s="18">
        <v>2000000</v>
      </c>
      <c r="K49" s="528"/>
      <c r="L49" s="528"/>
      <c r="M49" s="529"/>
      <c r="N49" s="26" t="s">
        <v>91</v>
      </c>
      <c r="O49" s="27">
        <v>41941</v>
      </c>
      <c r="P49" s="28">
        <v>42063</v>
      </c>
      <c r="Q49" s="525"/>
      <c r="R49" s="20">
        <v>1</v>
      </c>
      <c r="S49" s="21"/>
      <c r="T49" s="526"/>
      <c r="U49" s="22"/>
    </row>
    <row r="50" spans="1:21" s="23" customFormat="1" ht="45" hidden="1" customHeight="1" x14ac:dyDescent="0.3">
      <c r="A50" s="534"/>
      <c r="B50" s="527"/>
      <c r="C50" s="29"/>
      <c r="D50" s="30"/>
      <c r="E50" s="31"/>
      <c r="F50" s="31"/>
      <c r="G50" s="32"/>
      <c r="H50" s="33"/>
      <c r="I50" s="24" t="s">
        <v>92</v>
      </c>
      <c r="J50" s="18">
        <v>725845.86</v>
      </c>
      <c r="K50" s="34"/>
      <c r="L50" s="34"/>
      <c r="M50" s="187"/>
      <c r="N50" s="26" t="s">
        <v>93</v>
      </c>
      <c r="O50" s="27">
        <v>42100</v>
      </c>
      <c r="P50" s="28">
        <v>42130</v>
      </c>
      <c r="Q50" s="35"/>
      <c r="R50" s="20"/>
      <c r="S50" s="21"/>
      <c r="T50" s="36"/>
      <c r="U50" s="22"/>
    </row>
    <row r="51" spans="1:21" s="3" customFormat="1" ht="41.25" hidden="1" customHeight="1" x14ac:dyDescent="0.3">
      <c r="A51" s="515">
        <v>9</v>
      </c>
      <c r="B51" s="511" t="s">
        <v>94</v>
      </c>
      <c r="C51" s="517">
        <v>1987</v>
      </c>
      <c r="D51" s="465" t="s">
        <v>95</v>
      </c>
      <c r="E51" s="518">
        <v>9</v>
      </c>
      <c r="F51" s="518">
        <v>1</v>
      </c>
      <c r="G51" s="519">
        <v>5398.7</v>
      </c>
      <c r="H51" s="511">
        <v>236</v>
      </c>
      <c r="I51" s="40" t="s">
        <v>57</v>
      </c>
      <c r="J51" s="55">
        <f>400000-3656.84</f>
        <v>396343.16</v>
      </c>
      <c r="K51" s="512">
        <f>J51+J52+J53+J54</f>
        <v>2600000</v>
      </c>
      <c r="L51" s="512">
        <f>2596343.16+3656.84</f>
        <v>2600000</v>
      </c>
      <c r="M51" s="513">
        <f>K51-L51</f>
        <v>0</v>
      </c>
      <c r="N51" s="96" t="s">
        <v>96</v>
      </c>
      <c r="O51" s="50">
        <v>41988</v>
      </c>
      <c r="P51" s="49">
        <v>42077</v>
      </c>
      <c r="Q51" s="481" t="s">
        <v>97</v>
      </c>
      <c r="R51" s="51">
        <v>1</v>
      </c>
      <c r="S51" s="72"/>
      <c r="T51" s="468">
        <f>AVERAGE(R51:R53)</f>
        <v>1</v>
      </c>
      <c r="U51" s="64"/>
    </row>
    <row r="52" spans="1:21" s="3" customFormat="1" ht="32.25" hidden="1" customHeight="1" x14ac:dyDescent="0.3">
      <c r="A52" s="515"/>
      <c r="B52" s="511"/>
      <c r="C52" s="517"/>
      <c r="D52" s="465"/>
      <c r="E52" s="518"/>
      <c r="F52" s="518"/>
      <c r="G52" s="519"/>
      <c r="H52" s="511"/>
      <c r="I52" s="53" t="s">
        <v>48</v>
      </c>
      <c r="J52" s="55">
        <v>600000</v>
      </c>
      <c r="K52" s="512"/>
      <c r="L52" s="512"/>
      <c r="M52" s="513"/>
      <c r="N52" s="46" t="s">
        <v>98</v>
      </c>
      <c r="O52" s="49">
        <v>41985</v>
      </c>
      <c r="P52" s="49">
        <v>42063</v>
      </c>
      <c r="Q52" s="481"/>
      <c r="R52" s="51">
        <v>1</v>
      </c>
      <c r="S52" s="52"/>
      <c r="T52" s="468"/>
      <c r="U52" s="64"/>
    </row>
    <row r="53" spans="1:21" s="3" customFormat="1" ht="66.75" hidden="1" customHeight="1" x14ac:dyDescent="0.3">
      <c r="A53" s="515"/>
      <c r="B53" s="511"/>
      <c r="C53" s="517"/>
      <c r="D53" s="465"/>
      <c r="E53" s="518"/>
      <c r="F53" s="518"/>
      <c r="G53" s="60"/>
      <c r="H53" s="61"/>
      <c r="I53" s="53" t="s">
        <v>99</v>
      </c>
      <c r="J53" s="55">
        <v>1600000</v>
      </c>
      <c r="K53" s="512"/>
      <c r="L53" s="512"/>
      <c r="M53" s="513"/>
      <c r="N53" s="48" t="s">
        <v>100</v>
      </c>
      <c r="O53" s="97">
        <v>41927</v>
      </c>
      <c r="P53" s="87">
        <v>42004</v>
      </c>
      <c r="Q53" s="62"/>
      <c r="R53" s="51">
        <v>1</v>
      </c>
      <c r="S53" s="52"/>
      <c r="T53" s="468"/>
      <c r="U53" s="64"/>
    </row>
    <row r="54" spans="1:21" s="242" customFormat="1" ht="66.75" customHeight="1" x14ac:dyDescent="0.25">
      <c r="A54" s="516"/>
      <c r="B54" s="457"/>
      <c r="C54" s="57"/>
      <c r="D54" s="58"/>
      <c r="E54" s="59"/>
      <c r="F54" s="59"/>
      <c r="G54" s="60"/>
      <c r="H54" s="61"/>
      <c r="I54" s="53" t="s">
        <v>39</v>
      </c>
      <c r="J54" s="241">
        <v>3656.84</v>
      </c>
      <c r="K54" s="512"/>
      <c r="L54" s="512"/>
      <c r="M54" s="524"/>
      <c r="N54" s="253" t="s">
        <v>40</v>
      </c>
      <c r="O54" s="50">
        <v>42100</v>
      </c>
      <c r="P54" s="50">
        <v>42130</v>
      </c>
      <c r="Q54" s="75"/>
      <c r="R54" s="51"/>
      <c r="S54" s="52"/>
      <c r="T54" s="63"/>
      <c r="U54" s="64"/>
    </row>
    <row r="55" spans="1:21" s="3" customFormat="1" ht="33.75" hidden="1" customHeight="1" x14ac:dyDescent="0.3">
      <c r="A55" s="515">
        <v>13</v>
      </c>
      <c r="B55" s="511" t="s">
        <v>101</v>
      </c>
      <c r="C55" s="517">
        <v>1979</v>
      </c>
      <c r="D55" s="465" t="s">
        <v>102</v>
      </c>
      <c r="E55" s="518">
        <v>5</v>
      </c>
      <c r="F55" s="518">
        <v>11</v>
      </c>
      <c r="G55" s="519">
        <v>7478.28</v>
      </c>
      <c r="H55" s="511">
        <v>281</v>
      </c>
      <c r="I55" s="46" t="s">
        <v>57</v>
      </c>
      <c r="J55" s="55">
        <v>2500000</v>
      </c>
      <c r="K55" s="512">
        <f>J55+J56</f>
        <v>5000000</v>
      </c>
      <c r="L55" s="512">
        <v>5000000</v>
      </c>
      <c r="M55" s="513">
        <f>K55-L55</f>
        <v>0</v>
      </c>
      <c r="N55" s="522" t="s">
        <v>103</v>
      </c>
      <c r="O55" s="523">
        <v>41929</v>
      </c>
      <c r="P55" s="98">
        <v>42050</v>
      </c>
      <c r="Q55" s="481" t="s">
        <v>104</v>
      </c>
      <c r="R55" s="51">
        <v>1</v>
      </c>
      <c r="S55" s="52"/>
      <c r="T55" s="468">
        <f>AVERAGE(R55:R56)</f>
        <v>1</v>
      </c>
      <c r="U55" s="73"/>
    </row>
    <row r="56" spans="1:21" s="3" customFormat="1" ht="21.75" hidden="1" customHeight="1" x14ac:dyDescent="0.3">
      <c r="A56" s="515"/>
      <c r="B56" s="511"/>
      <c r="C56" s="517"/>
      <c r="D56" s="465"/>
      <c r="E56" s="518"/>
      <c r="F56" s="518"/>
      <c r="G56" s="519"/>
      <c r="H56" s="511"/>
      <c r="I56" s="46" t="s">
        <v>35</v>
      </c>
      <c r="J56" s="55">
        <v>2500000</v>
      </c>
      <c r="K56" s="512"/>
      <c r="L56" s="512"/>
      <c r="M56" s="513"/>
      <c r="N56" s="522"/>
      <c r="O56" s="523"/>
      <c r="P56" s="99">
        <v>42063</v>
      </c>
      <c r="Q56" s="481"/>
      <c r="R56" s="51">
        <v>1</v>
      </c>
      <c r="S56" s="52"/>
      <c r="T56" s="468"/>
      <c r="U56" s="73"/>
    </row>
    <row r="57" spans="1:21" s="3" customFormat="1" ht="33.75" hidden="1" customHeight="1" x14ac:dyDescent="0.3">
      <c r="A57" s="515">
        <v>14</v>
      </c>
      <c r="B57" s="511" t="s">
        <v>105</v>
      </c>
      <c r="C57" s="517">
        <v>1985</v>
      </c>
      <c r="D57" s="465" t="s">
        <v>106</v>
      </c>
      <c r="E57" s="518">
        <v>9</v>
      </c>
      <c r="F57" s="518">
        <v>6</v>
      </c>
      <c r="G57" s="519">
        <v>13385.9</v>
      </c>
      <c r="H57" s="511">
        <v>506</v>
      </c>
      <c r="I57" s="46" t="s">
        <v>57</v>
      </c>
      <c r="J57" s="55">
        <v>2500000</v>
      </c>
      <c r="K57" s="512">
        <f>J57+J58</f>
        <v>5000000</v>
      </c>
      <c r="L57" s="512">
        <v>5000000</v>
      </c>
      <c r="M57" s="513">
        <f>K57-L57</f>
        <v>0</v>
      </c>
      <c r="N57" s="521" t="s">
        <v>107</v>
      </c>
      <c r="O57" s="520">
        <v>41929</v>
      </c>
      <c r="P57" s="50">
        <v>42050</v>
      </c>
      <c r="Q57" s="481" t="s">
        <v>108</v>
      </c>
      <c r="R57" s="51">
        <v>1</v>
      </c>
      <c r="S57" s="52"/>
      <c r="T57" s="468">
        <f>AVERAGE(R57:R58)</f>
        <v>1</v>
      </c>
      <c r="U57" s="76"/>
    </row>
    <row r="58" spans="1:21" s="3" customFormat="1" ht="26.25" hidden="1" customHeight="1" x14ac:dyDescent="0.3">
      <c r="A58" s="515"/>
      <c r="B58" s="511"/>
      <c r="C58" s="517"/>
      <c r="D58" s="465"/>
      <c r="E58" s="518"/>
      <c r="F58" s="518"/>
      <c r="G58" s="519"/>
      <c r="H58" s="511"/>
      <c r="I58" s="46" t="s">
        <v>35</v>
      </c>
      <c r="J58" s="55">
        <v>2500000</v>
      </c>
      <c r="K58" s="512"/>
      <c r="L58" s="512"/>
      <c r="M58" s="513"/>
      <c r="N58" s="521"/>
      <c r="O58" s="520"/>
      <c r="P58" s="49">
        <v>42063</v>
      </c>
      <c r="Q58" s="481"/>
      <c r="R58" s="51">
        <v>1</v>
      </c>
      <c r="S58" s="52"/>
      <c r="T58" s="468"/>
      <c r="U58" s="73"/>
    </row>
    <row r="59" spans="1:21" s="3" customFormat="1" ht="124.7" hidden="1" customHeight="1" x14ac:dyDescent="0.3">
      <c r="A59" s="515">
        <v>15</v>
      </c>
      <c r="B59" s="511" t="s">
        <v>109</v>
      </c>
      <c r="C59" s="517">
        <v>1986</v>
      </c>
      <c r="D59" s="465" t="s">
        <v>110</v>
      </c>
      <c r="E59" s="518">
        <v>9</v>
      </c>
      <c r="F59" s="518">
        <v>8</v>
      </c>
      <c r="G59" s="519">
        <v>9678.2000000000007</v>
      </c>
      <c r="H59" s="511">
        <v>460</v>
      </c>
      <c r="I59" s="46" t="s">
        <v>57</v>
      </c>
      <c r="J59" s="55">
        <v>2271950</v>
      </c>
      <c r="K59" s="512">
        <f>J59+J60+J61</f>
        <v>5024480</v>
      </c>
      <c r="L59" s="512">
        <f>4925271.07+99208.93</f>
        <v>5024480</v>
      </c>
      <c r="M59" s="513">
        <f>K59-L59</f>
        <v>0</v>
      </c>
      <c r="N59" s="100" t="s">
        <v>111</v>
      </c>
      <c r="O59" s="49">
        <v>41901</v>
      </c>
      <c r="P59" s="49">
        <v>42063</v>
      </c>
      <c r="Q59" s="481" t="s">
        <v>112</v>
      </c>
      <c r="R59" s="51">
        <v>1</v>
      </c>
      <c r="S59" s="101"/>
      <c r="T59" s="468">
        <f>AVERAGE(R59:R60)</f>
        <v>1</v>
      </c>
      <c r="U59" s="102"/>
    </row>
    <row r="60" spans="1:21" s="3" customFormat="1" ht="51" hidden="1" customHeight="1" x14ac:dyDescent="0.3">
      <c r="A60" s="515"/>
      <c r="B60" s="511"/>
      <c r="C60" s="517"/>
      <c r="D60" s="465"/>
      <c r="E60" s="518"/>
      <c r="F60" s="518"/>
      <c r="G60" s="519"/>
      <c r="H60" s="511"/>
      <c r="I60" s="46" t="s">
        <v>35</v>
      </c>
      <c r="J60" s="55">
        <f>2752530-99208.93</f>
        <v>2653321.0699999998</v>
      </c>
      <c r="K60" s="512"/>
      <c r="L60" s="512"/>
      <c r="M60" s="513"/>
      <c r="N60" s="100" t="s">
        <v>113</v>
      </c>
      <c r="O60" s="103">
        <v>41901</v>
      </c>
      <c r="P60" s="50">
        <v>42050</v>
      </c>
      <c r="Q60" s="481"/>
      <c r="R60" s="51">
        <v>1</v>
      </c>
      <c r="S60" s="104"/>
      <c r="T60" s="468"/>
      <c r="U60" s="73"/>
    </row>
    <row r="61" spans="1:21" s="3" customFormat="1" ht="51" hidden="1" customHeight="1" x14ac:dyDescent="0.3">
      <c r="A61" s="515"/>
      <c r="B61" s="511"/>
      <c r="C61" s="57"/>
      <c r="D61" s="58"/>
      <c r="E61" s="59"/>
      <c r="F61" s="59"/>
      <c r="G61" s="60"/>
      <c r="H61" s="61"/>
      <c r="I61" s="46" t="s">
        <v>114</v>
      </c>
      <c r="J61" s="55">
        <v>99208.93</v>
      </c>
      <c r="K61" s="512"/>
      <c r="L61" s="512"/>
      <c r="M61" s="186"/>
      <c r="N61" s="100" t="s">
        <v>115</v>
      </c>
      <c r="O61" s="103">
        <v>42100</v>
      </c>
      <c r="P61" s="50">
        <v>42130</v>
      </c>
      <c r="Q61" s="62"/>
      <c r="R61" s="51"/>
      <c r="S61" s="104"/>
      <c r="T61" s="63"/>
      <c r="U61" s="73"/>
    </row>
    <row r="62" spans="1:21" s="3" customFormat="1" ht="51.2" hidden="1" customHeight="1" x14ac:dyDescent="0.3">
      <c r="A62" s="515">
        <v>10</v>
      </c>
      <c r="B62" s="511" t="s">
        <v>116</v>
      </c>
      <c r="C62" s="517">
        <v>1988</v>
      </c>
      <c r="D62" s="465" t="s">
        <v>117</v>
      </c>
      <c r="E62" s="518">
        <v>5</v>
      </c>
      <c r="F62" s="518">
        <v>7</v>
      </c>
      <c r="G62" s="519">
        <v>8459.2999999999993</v>
      </c>
      <c r="H62" s="511">
        <v>333</v>
      </c>
      <c r="I62" s="53" t="s">
        <v>37</v>
      </c>
      <c r="J62" s="55">
        <v>1000000</v>
      </c>
      <c r="K62" s="512">
        <f>J62+J63+J64+J65</f>
        <v>4448151</v>
      </c>
      <c r="L62" s="512">
        <f>4447506.79+644.21</f>
        <v>4448151</v>
      </c>
      <c r="M62" s="513">
        <f>K62-L62</f>
        <v>0</v>
      </c>
      <c r="N62" s="452" t="s">
        <v>118</v>
      </c>
      <c r="O62" s="486">
        <v>41934</v>
      </c>
      <c r="P62" s="49">
        <v>42124</v>
      </c>
      <c r="Q62" s="481" t="s">
        <v>119</v>
      </c>
      <c r="R62" s="51">
        <v>0.95</v>
      </c>
      <c r="S62" s="52"/>
      <c r="T62" s="468">
        <f>AVERAGE(R62:R64)</f>
        <v>0.96666666666666667</v>
      </c>
      <c r="U62" s="56" t="s">
        <v>38</v>
      </c>
    </row>
    <row r="63" spans="1:21" s="3" customFormat="1" ht="54.4" hidden="1" customHeight="1" x14ac:dyDescent="0.3">
      <c r="A63" s="515"/>
      <c r="B63" s="511"/>
      <c r="C63" s="517"/>
      <c r="D63" s="465"/>
      <c r="E63" s="518"/>
      <c r="F63" s="518"/>
      <c r="G63" s="519"/>
      <c r="H63" s="511"/>
      <c r="I63" s="53" t="s">
        <v>120</v>
      </c>
      <c r="J63" s="55">
        <v>390000</v>
      </c>
      <c r="K63" s="512"/>
      <c r="L63" s="512"/>
      <c r="M63" s="513"/>
      <c r="N63" s="452"/>
      <c r="O63" s="486"/>
      <c r="P63" s="49">
        <v>42124</v>
      </c>
      <c r="Q63" s="481"/>
      <c r="R63" s="51">
        <v>0.95</v>
      </c>
      <c r="S63" s="52"/>
      <c r="T63" s="468"/>
      <c r="U63" s="56" t="s">
        <v>38</v>
      </c>
    </row>
    <row r="64" spans="1:21" s="3" customFormat="1" ht="19.5" hidden="1" customHeight="1" x14ac:dyDescent="0.3">
      <c r="A64" s="515"/>
      <c r="B64" s="511"/>
      <c r="C64" s="517"/>
      <c r="D64" s="465"/>
      <c r="E64" s="518"/>
      <c r="F64" s="518"/>
      <c r="G64" s="519"/>
      <c r="H64" s="511"/>
      <c r="I64" s="46" t="s">
        <v>35</v>
      </c>
      <c r="J64" s="55">
        <f>3058151-644.21</f>
        <v>3057506.79</v>
      </c>
      <c r="K64" s="512"/>
      <c r="L64" s="512"/>
      <c r="M64" s="513"/>
      <c r="N64" s="452"/>
      <c r="O64" s="486"/>
      <c r="P64" s="49">
        <v>42063</v>
      </c>
      <c r="Q64" s="481"/>
      <c r="R64" s="51">
        <v>1</v>
      </c>
      <c r="S64" s="52"/>
      <c r="T64" s="468"/>
      <c r="U64" s="73"/>
    </row>
    <row r="65" spans="1:21" s="242" customFormat="1" ht="69.2" customHeight="1" x14ac:dyDescent="0.25">
      <c r="A65" s="516"/>
      <c r="B65" s="457"/>
      <c r="C65" s="57"/>
      <c r="D65" s="58"/>
      <c r="E65" s="59"/>
      <c r="F65" s="59"/>
      <c r="G65" s="60"/>
      <c r="H65" s="61"/>
      <c r="I65" s="53" t="s">
        <v>39</v>
      </c>
      <c r="J65" s="241">
        <v>644.21</v>
      </c>
      <c r="K65" s="105"/>
      <c r="L65" s="105"/>
      <c r="M65" s="74"/>
      <c r="N65" s="253" t="s">
        <v>40</v>
      </c>
      <c r="O65" s="50">
        <v>42100</v>
      </c>
      <c r="P65" s="50">
        <v>42130</v>
      </c>
      <c r="Q65" s="75"/>
      <c r="R65" s="51"/>
      <c r="S65" s="52"/>
      <c r="T65" s="63"/>
      <c r="U65" s="73"/>
    </row>
    <row r="66" spans="1:21" s="3" customFormat="1" ht="42.75" hidden="1" customHeight="1" x14ac:dyDescent="0.3">
      <c r="A66" s="515">
        <v>11</v>
      </c>
      <c r="B66" s="511" t="s">
        <v>121</v>
      </c>
      <c r="C66" s="517">
        <v>1960</v>
      </c>
      <c r="D66" s="465" t="s">
        <v>122</v>
      </c>
      <c r="E66" s="518">
        <v>5</v>
      </c>
      <c r="F66" s="518">
        <v>2</v>
      </c>
      <c r="G66" s="519">
        <v>4226.8</v>
      </c>
      <c r="H66" s="511">
        <v>250</v>
      </c>
      <c r="I66" s="54" t="s">
        <v>35</v>
      </c>
      <c r="J66" s="55">
        <f>630940-8653.81</f>
        <v>622286.18999999994</v>
      </c>
      <c r="K66" s="512">
        <f>J66+J67+J68</f>
        <v>1505190</v>
      </c>
      <c r="L66" s="512">
        <f>1496536.19+8653.81</f>
        <v>1505190</v>
      </c>
      <c r="M66" s="513">
        <f>K66-L66</f>
        <v>0</v>
      </c>
      <c r="N66" s="100" t="s">
        <v>123</v>
      </c>
      <c r="O66" s="49">
        <v>41901</v>
      </c>
      <c r="P66" s="50">
        <v>42050</v>
      </c>
      <c r="Q66" s="481" t="s">
        <v>124</v>
      </c>
      <c r="R66" s="51">
        <v>1</v>
      </c>
      <c r="S66" s="52"/>
      <c r="T66" s="430">
        <f>AVERAGE(R66:R67)</f>
        <v>1</v>
      </c>
      <c r="U66" s="73"/>
    </row>
    <row r="67" spans="1:21" s="3" customFormat="1" ht="42.75" hidden="1" customHeight="1" x14ac:dyDescent="0.3">
      <c r="A67" s="515"/>
      <c r="B67" s="511"/>
      <c r="C67" s="517"/>
      <c r="D67" s="465"/>
      <c r="E67" s="518"/>
      <c r="F67" s="518"/>
      <c r="G67" s="519"/>
      <c r="H67" s="511"/>
      <c r="I67" s="46" t="s">
        <v>43</v>
      </c>
      <c r="J67" s="55">
        <v>874250</v>
      </c>
      <c r="K67" s="512"/>
      <c r="L67" s="512"/>
      <c r="M67" s="513"/>
      <c r="N67" s="100" t="s">
        <v>125</v>
      </c>
      <c r="O67" s="49">
        <v>41901</v>
      </c>
      <c r="P67" s="50">
        <v>42050</v>
      </c>
      <c r="Q67" s="481"/>
      <c r="R67" s="51">
        <v>1</v>
      </c>
      <c r="S67" s="52"/>
      <c r="T67" s="431"/>
      <c r="U67" s="73"/>
    </row>
    <row r="68" spans="1:21" s="242" customFormat="1" ht="69.2" customHeight="1" x14ac:dyDescent="0.25">
      <c r="A68" s="516"/>
      <c r="B68" s="457"/>
      <c r="C68" s="57"/>
      <c r="D68" s="58"/>
      <c r="E68" s="59"/>
      <c r="F68" s="59"/>
      <c r="G68" s="60"/>
      <c r="H68" s="61"/>
      <c r="I68" s="53" t="s">
        <v>39</v>
      </c>
      <c r="J68" s="241">
        <v>8653.81</v>
      </c>
      <c r="K68" s="105"/>
      <c r="L68" s="105"/>
      <c r="M68" s="74"/>
      <c r="N68" s="253" t="s">
        <v>40</v>
      </c>
      <c r="O68" s="50">
        <v>42100</v>
      </c>
      <c r="P68" s="50">
        <v>42130</v>
      </c>
      <c r="Q68" s="75"/>
      <c r="R68" s="51"/>
      <c r="S68" s="52"/>
      <c r="T68" s="514"/>
      <c r="U68" s="73"/>
    </row>
    <row r="69" spans="1:21" s="3" customFormat="1" ht="36.75" hidden="1" customHeight="1" x14ac:dyDescent="0.3">
      <c r="A69" s="507">
        <v>18</v>
      </c>
      <c r="B69" s="501" t="s">
        <v>209</v>
      </c>
      <c r="C69" s="508">
        <v>1966</v>
      </c>
      <c r="D69" s="509" t="s">
        <v>88</v>
      </c>
      <c r="E69" s="510">
        <v>5</v>
      </c>
      <c r="F69" s="510">
        <v>4</v>
      </c>
      <c r="G69" s="500">
        <v>3524.2</v>
      </c>
      <c r="H69" s="501">
        <v>145</v>
      </c>
      <c r="I69" s="106" t="s">
        <v>37</v>
      </c>
      <c r="J69" s="107">
        <v>829371.79</v>
      </c>
      <c r="K69" s="502">
        <f>J69+J70+J71+J72+J73</f>
        <v>4960951.0199999996</v>
      </c>
      <c r="L69" s="502">
        <v>4829058.41</v>
      </c>
      <c r="M69" s="503">
        <f>K69-L69</f>
        <v>131892.6099999994</v>
      </c>
      <c r="N69" s="504" t="s">
        <v>210</v>
      </c>
      <c r="O69" s="495">
        <v>42023</v>
      </c>
      <c r="P69" s="495">
        <v>42139</v>
      </c>
      <c r="Q69" s="498" t="s">
        <v>90</v>
      </c>
      <c r="R69" s="108">
        <v>0.15</v>
      </c>
      <c r="S69" s="109"/>
      <c r="T69" s="499">
        <f>AVERAGE(R69:R73)</f>
        <v>0.37</v>
      </c>
      <c r="U69" s="110"/>
    </row>
    <row r="70" spans="1:21" s="3" customFormat="1" ht="36.75" hidden="1" customHeight="1" x14ac:dyDescent="0.3">
      <c r="A70" s="507"/>
      <c r="B70" s="501"/>
      <c r="C70" s="508"/>
      <c r="D70" s="509"/>
      <c r="E70" s="510"/>
      <c r="F70" s="510"/>
      <c r="G70" s="500"/>
      <c r="H70" s="501"/>
      <c r="I70" s="111" t="s">
        <v>57</v>
      </c>
      <c r="J70" s="107">
        <v>677193.12</v>
      </c>
      <c r="K70" s="502"/>
      <c r="L70" s="502"/>
      <c r="M70" s="503"/>
      <c r="N70" s="505"/>
      <c r="O70" s="496"/>
      <c r="P70" s="496">
        <v>42139</v>
      </c>
      <c r="Q70" s="498"/>
      <c r="R70" s="108">
        <v>0.45</v>
      </c>
      <c r="S70" s="109"/>
      <c r="T70" s="499"/>
      <c r="U70" s="110"/>
    </row>
    <row r="71" spans="1:21" s="3" customFormat="1" ht="22.5" hidden="1" customHeight="1" x14ac:dyDescent="0.3">
      <c r="A71" s="507"/>
      <c r="B71" s="501"/>
      <c r="C71" s="508"/>
      <c r="D71" s="509"/>
      <c r="E71" s="510"/>
      <c r="F71" s="510"/>
      <c r="G71" s="500"/>
      <c r="H71" s="501"/>
      <c r="I71" s="106" t="s">
        <v>35</v>
      </c>
      <c r="J71" s="107">
        <v>1394326.47</v>
      </c>
      <c r="K71" s="502"/>
      <c r="L71" s="502"/>
      <c r="M71" s="503"/>
      <c r="N71" s="505"/>
      <c r="O71" s="496"/>
      <c r="P71" s="496">
        <v>42139</v>
      </c>
      <c r="Q71" s="498"/>
      <c r="R71" s="108">
        <v>0.2</v>
      </c>
      <c r="S71" s="109"/>
      <c r="T71" s="499"/>
      <c r="U71" s="110"/>
    </row>
    <row r="72" spans="1:21" s="3" customFormat="1" ht="22.5" hidden="1" customHeight="1" x14ac:dyDescent="0.3">
      <c r="A72" s="507"/>
      <c r="B72" s="501"/>
      <c r="C72" s="508"/>
      <c r="D72" s="509"/>
      <c r="E72" s="510"/>
      <c r="F72" s="510"/>
      <c r="G72" s="500"/>
      <c r="H72" s="501"/>
      <c r="I72" s="111" t="s">
        <v>43</v>
      </c>
      <c r="J72" s="107">
        <v>1730672.56</v>
      </c>
      <c r="K72" s="502"/>
      <c r="L72" s="502"/>
      <c r="M72" s="503"/>
      <c r="N72" s="505"/>
      <c r="O72" s="496"/>
      <c r="P72" s="496">
        <v>42139</v>
      </c>
      <c r="Q72" s="498"/>
      <c r="R72" s="108">
        <v>1</v>
      </c>
      <c r="S72" s="109"/>
      <c r="T72" s="499"/>
      <c r="U72" s="110"/>
    </row>
    <row r="73" spans="1:21" s="3" customFormat="1" ht="22.5" hidden="1" customHeight="1" x14ac:dyDescent="0.3">
      <c r="A73" s="507"/>
      <c r="B73" s="501"/>
      <c r="C73" s="508"/>
      <c r="D73" s="509"/>
      <c r="E73" s="510"/>
      <c r="F73" s="510"/>
      <c r="G73" s="500"/>
      <c r="H73" s="501"/>
      <c r="I73" s="106" t="s">
        <v>211</v>
      </c>
      <c r="J73" s="107">
        <v>329387.08</v>
      </c>
      <c r="K73" s="502"/>
      <c r="L73" s="502"/>
      <c r="M73" s="503"/>
      <c r="N73" s="506"/>
      <c r="O73" s="497"/>
      <c r="P73" s="497">
        <v>42139</v>
      </c>
      <c r="Q73" s="498"/>
      <c r="R73" s="108">
        <v>0.05</v>
      </c>
      <c r="S73" s="112"/>
      <c r="T73" s="499"/>
      <c r="U73" s="110"/>
    </row>
    <row r="74" spans="1:21" s="199" customFormat="1" ht="69.75" hidden="1" customHeight="1" x14ac:dyDescent="0.3">
      <c r="A74" s="433" t="s">
        <v>212</v>
      </c>
      <c r="B74" s="433"/>
      <c r="C74" s="113" t="s">
        <v>126</v>
      </c>
      <c r="D74" s="113" t="s">
        <v>126</v>
      </c>
      <c r="E74" s="113" t="s">
        <v>126</v>
      </c>
      <c r="F74" s="113" t="s">
        <v>126</v>
      </c>
      <c r="G74" s="114">
        <f>SUM(G8:G67)</f>
        <v>103869.7</v>
      </c>
      <c r="H74" s="115">
        <f>SUM(H8:H67)</f>
        <v>4080</v>
      </c>
      <c r="I74" s="193" t="s">
        <v>126</v>
      </c>
      <c r="J74" s="194">
        <f>SUM(J8:J68)</f>
        <v>71046184.699999988</v>
      </c>
      <c r="K74" s="194">
        <f>SUM(K8:K67)</f>
        <v>71046184.700000003</v>
      </c>
      <c r="L74" s="194">
        <f>SUM(L8:L67)</f>
        <v>71046184.700000003</v>
      </c>
      <c r="M74" s="195">
        <f>SUM(M8:M67)</f>
        <v>0</v>
      </c>
      <c r="N74" s="196" t="s">
        <v>126</v>
      </c>
      <c r="O74" s="196" t="s">
        <v>126</v>
      </c>
      <c r="P74" s="196" t="s">
        <v>126</v>
      </c>
      <c r="Q74" s="113" t="s">
        <v>126</v>
      </c>
      <c r="R74" s="196"/>
      <c r="S74" s="113" t="s">
        <v>126</v>
      </c>
      <c r="T74" s="197">
        <f>AVERAGE(T8:T73)</f>
        <v>0.96106481481481487</v>
      </c>
      <c r="U74" s="198" t="s">
        <v>126</v>
      </c>
    </row>
    <row r="75" spans="1:21" s="6" customFormat="1" ht="42.75" hidden="1" customHeight="1" x14ac:dyDescent="0.3">
      <c r="A75" s="466" t="s">
        <v>127</v>
      </c>
      <c r="B75" s="466"/>
      <c r="C75" s="466"/>
      <c r="D75" s="466"/>
      <c r="E75" s="466"/>
      <c r="F75" s="466"/>
      <c r="G75" s="466"/>
      <c r="H75" s="466"/>
      <c r="I75" s="466"/>
      <c r="J75" s="466"/>
      <c r="K75" s="466"/>
      <c r="L75" s="466"/>
      <c r="M75" s="466"/>
      <c r="N75" s="466"/>
      <c r="O75" s="466"/>
      <c r="P75" s="466"/>
      <c r="Q75" s="466"/>
      <c r="R75" s="116"/>
      <c r="S75" s="117"/>
      <c r="T75" s="117"/>
      <c r="U75" s="118"/>
    </row>
    <row r="76" spans="1:21" s="7" customFormat="1" ht="42.75" hidden="1" customHeight="1" x14ac:dyDescent="0.3">
      <c r="A76" s="463">
        <v>12</v>
      </c>
      <c r="B76" s="465" t="s">
        <v>128</v>
      </c>
      <c r="C76" s="480">
        <v>1966</v>
      </c>
      <c r="D76" s="465" t="s">
        <v>129</v>
      </c>
      <c r="E76" s="465">
        <v>5</v>
      </c>
      <c r="F76" s="465">
        <v>3</v>
      </c>
      <c r="G76" s="465">
        <v>3538.3</v>
      </c>
      <c r="H76" s="465">
        <v>118</v>
      </c>
      <c r="I76" s="209" t="s">
        <v>130</v>
      </c>
      <c r="J76" s="210">
        <v>250000</v>
      </c>
      <c r="K76" s="482">
        <f>J76+J77+J78</f>
        <v>1000000</v>
      </c>
      <c r="L76" s="482">
        <f>999898.37+101.63</f>
        <v>1000000</v>
      </c>
      <c r="M76" s="484">
        <f>K76-L76</f>
        <v>0</v>
      </c>
      <c r="N76" s="211"/>
      <c r="O76" s="212"/>
      <c r="P76" s="212"/>
      <c r="Q76" s="465" t="s">
        <v>131</v>
      </c>
      <c r="R76" s="213"/>
      <c r="S76" s="121"/>
      <c r="T76" s="467">
        <f>AVERAGE(R76:R77)</f>
        <v>0.95</v>
      </c>
      <c r="U76" s="214" t="s">
        <v>132</v>
      </c>
    </row>
    <row r="77" spans="1:21" s="8" customFormat="1" ht="100.5" hidden="1" customHeight="1" x14ac:dyDescent="0.3">
      <c r="A77" s="463"/>
      <c r="B77" s="465"/>
      <c r="C77" s="480"/>
      <c r="D77" s="465"/>
      <c r="E77" s="465"/>
      <c r="F77" s="465"/>
      <c r="G77" s="465"/>
      <c r="H77" s="465"/>
      <c r="I77" s="53" t="s">
        <v>43</v>
      </c>
      <c r="J77" s="122">
        <f>750000-101.63</f>
        <v>749898.37</v>
      </c>
      <c r="K77" s="483"/>
      <c r="L77" s="483"/>
      <c r="M77" s="485"/>
      <c r="N77" s="123" t="s">
        <v>133</v>
      </c>
      <c r="O77" s="124" t="s">
        <v>134</v>
      </c>
      <c r="P77" s="124" t="s">
        <v>135</v>
      </c>
      <c r="Q77" s="465"/>
      <c r="R77" s="125">
        <v>0.95</v>
      </c>
      <c r="S77" s="126"/>
      <c r="T77" s="468"/>
      <c r="U77" s="102" t="s">
        <v>38</v>
      </c>
    </row>
    <row r="78" spans="1:21" ht="71.45" customHeight="1" x14ac:dyDescent="0.25">
      <c r="A78" s="464"/>
      <c r="B78" s="454"/>
      <c r="C78" s="127"/>
      <c r="D78" s="58"/>
      <c r="E78" s="58"/>
      <c r="F78" s="58"/>
      <c r="G78" s="58"/>
      <c r="H78" s="58"/>
      <c r="I78" s="53" t="s">
        <v>39</v>
      </c>
      <c r="J78" s="39">
        <v>101.63</v>
      </c>
      <c r="K78" s="128"/>
      <c r="L78" s="128"/>
      <c r="M78" s="129"/>
      <c r="N78" s="253" t="s">
        <v>40</v>
      </c>
      <c r="O78" s="50">
        <v>42100</v>
      </c>
      <c r="P78" s="50">
        <v>42130</v>
      </c>
      <c r="Q78" s="58"/>
      <c r="R78" s="51"/>
      <c r="S78" s="126"/>
      <c r="T78" s="63"/>
      <c r="U78" s="73"/>
    </row>
    <row r="79" spans="1:21" s="8" customFormat="1" ht="36.75" hidden="1" customHeight="1" x14ac:dyDescent="0.3">
      <c r="A79" s="463">
        <v>13</v>
      </c>
      <c r="B79" s="465" t="s">
        <v>136</v>
      </c>
      <c r="C79" s="480">
        <v>1975</v>
      </c>
      <c r="D79" s="465" t="s">
        <v>129</v>
      </c>
      <c r="E79" s="465">
        <v>5</v>
      </c>
      <c r="F79" s="465">
        <v>4</v>
      </c>
      <c r="G79" s="465">
        <v>4052.8</v>
      </c>
      <c r="H79" s="465">
        <v>106</v>
      </c>
      <c r="I79" s="53" t="s">
        <v>37</v>
      </c>
      <c r="J79" s="122">
        <v>500000</v>
      </c>
      <c r="K79" s="483">
        <f>J79+J80+J81+J82</f>
        <v>1541411.9300000002</v>
      </c>
      <c r="L79" s="483">
        <f>1541110.45+301.48</f>
        <v>1541411.93</v>
      </c>
      <c r="M79" s="485">
        <f>K79-L79</f>
        <v>0</v>
      </c>
      <c r="N79" s="493" t="s">
        <v>137</v>
      </c>
      <c r="O79" s="494">
        <v>41932</v>
      </c>
      <c r="P79" s="130">
        <v>42063</v>
      </c>
      <c r="Q79" s="465" t="s">
        <v>138</v>
      </c>
      <c r="R79" s="125">
        <v>1</v>
      </c>
      <c r="S79" s="126"/>
      <c r="T79" s="468">
        <f>AVERAGE(R79:R81)</f>
        <v>0.79999999999999993</v>
      </c>
      <c r="U79" s="73"/>
    </row>
    <row r="80" spans="1:21" s="8" customFormat="1" ht="38.25" hidden="1" customHeight="1" x14ac:dyDescent="0.3">
      <c r="A80" s="463"/>
      <c r="B80" s="465"/>
      <c r="C80" s="480"/>
      <c r="D80" s="465"/>
      <c r="E80" s="465"/>
      <c r="F80" s="465"/>
      <c r="G80" s="465"/>
      <c r="H80" s="465"/>
      <c r="I80" s="53" t="s">
        <v>130</v>
      </c>
      <c r="J80" s="122">
        <f>541411.93-301.48</f>
        <v>541110.45000000007</v>
      </c>
      <c r="K80" s="483"/>
      <c r="L80" s="483"/>
      <c r="M80" s="485"/>
      <c r="N80" s="493"/>
      <c r="O80" s="494"/>
      <c r="P80" s="50">
        <v>42050</v>
      </c>
      <c r="Q80" s="465"/>
      <c r="R80" s="125">
        <v>1</v>
      </c>
      <c r="S80" s="126"/>
      <c r="T80" s="468"/>
      <c r="U80" s="73"/>
    </row>
    <row r="81" spans="1:21" s="8" customFormat="1" ht="55.35" hidden="1" customHeight="1" x14ac:dyDescent="0.3">
      <c r="A81" s="463"/>
      <c r="B81" s="465"/>
      <c r="C81" s="480"/>
      <c r="D81" s="465"/>
      <c r="E81" s="465"/>
      <c r="F81" s="465"/>
      <c r="G81" s="465"/>
      <c r="H81" s="465"/>
      <c r="I81" s="53" t="s">
        <v>43</v>
      </c>
      <c r="J81" s="122">
        <v>500000</v>
      </c>
      <c r="K81" s="483"/>
      <c r="L81" s="483"/>
      <c r="M81" s="485"/>
      <c r="N81" s="40" t="s">
        <v>139</v>
      </c>
      <c r="O81" s="93">
        <v>41988</v>
      </c>
      <c r="P81" s="49">
        <v>42124</v>
      </c>
      <c r="Q81" s="465"/>
      <c r="R81" s="125">
        <v>0.4</v>
      </c>
      <c r="S81" s="126"/>
      <c r="T81" s="468"/>
      <c r="U81" s="102" t="s">
        <v>38</v>
      </c>
    </row>
    <row r="82" spans="1:21" ht="58.7" customHeight="1" x14ac:dyDescent="0.25">
      <c r="A82" s="464"/>
      <c r="B82" s="454"/>
      <c r="C82" s="127"/>
      <c r="D82" s="58"/>
      <c r="E82" s="58"/>
      <c r="F82" s="58"/>
      <c r="G82" s="58"/>
      <c r="H82" s="58"/>
      <c r="I82" s="53" t="s">
        <v>39</v>
      </c>
      <c r="J82" s="39">
        <v>301.48</v>
      </c>
      <c r="K82" s="128"/>
      <c r="L82" s="128"/>
      <c r="M82" s="129"/>
      <c r="N82" s="253" t="s">
        <v>40</v>
      </c>
      <c r="O82" s="50">
        <v>42100</v>
      </c>
      <c r="P82" s="50">
        <v>42130</v>
      </c>
      <c r="Q82" s="58"/>
      <c r="R82" s="51"/>
      <c r="S82" s="126"/>
      <c r="T82" s="63"/>
      <c r="U82" s="73"/>
    </row>
    <row r="83" spans="1:21" s="7" customFormat="1" ht="71.45" hidden="1" customHeight="1" x14ac:dyDescent="0.3">
      <c r="A83" s="463">
        <v>21</v>
      </c>
      <c r="B83" s="465" t="s">
        <v>140</v>
      </c>
      <c r="C83" s="480">
        <v>1994</v>
      </c>
      <c r="D83" s="465" t="s">
        <v>141</v>
      </c>
      <c r="E83" s="465">
        <v>2</v>
      </c>
      <c r="F83" s="465">
        <v>3</v>
      </c>
      <c r="G83" s="465">
        <v>1041.2</v>
      </c>
      <c r="H83" s="465">
        <v>38</v>
      </c>
      <c r="I83" s="79" t="s">
        <v>57</v>
      </c>
      <c r="J83" s="119">
        <v>200000</v>
      </c>
      <c r="K83" s="491">
        <f>J83+J84+J85</f>
        <v>1000000</v>
      </c>
      <c r="L83" s="491">
        <f>822329.11+177670.89</f>
        <v>1000000</v>
      </c>
      <c r="M83" s="492">
        <f>K83-L83</f>
        <v>0</v>
      </c>
      <c r="N83" s="79"/>
      <c r="O83" s="87"/>
      <c r="P83" s="131"/>
      <c r="Q83" s="465" t="s">
        <v>138</v>
      </c>
      <c r="R83" s="120"/>
      <c r="S83" s="121"/>
      <c r="T83" s="468">
        <f>AVERAGE(R83:R84)</f>
        <v>1</v>
      </c>
      <c r="U83" s="132"/>
    </row>
    <row r="84" spans="1:21" s="9" customFormat="1" ht="43.5" hidden="1" customHeight="1" x14ac:dyDescent="0.3">
      <c r="A84" s="463"/>
      <c r="B84" s="465"/>
      <c r="C84" s="480"/>
      <c r="D84" s="465"/>
      <c r="E84" s="465"/>
      <c r="F84" s="465"/>
      <c r="G84" s="465"/>
      <c r="H84" s="465"/>
      <c r="I84" s="24" t="s">
        <v>35</v>
      </c>
      <c r="J84" s="133">
        <f>800000-177670.89</f>
        <v>622329.11</v>
      </c>
      <c r="K84" s="491"/>
      <c r="L84" s="491"/>
      <c r="M84" s="492"/>
      <c r="N84" s="17" t="s">
        <v>142</v>
      </c>
      <c r="O84" s="28">
        <v>41954</v>
      </c>
      <c r="P84" s="77">
        <v>42050</v>
      </c>
      <c r="Q84" s="465"/>
      <c r="R84" s="134">
        <v>1</v>
      </c>
      <c r="S84" s="135"/>
      <c r="T84" s="468"/>
      <c r="U84" s="136"/>
    </row>
    <row r="85" spans="1:21" s="9" customFormat="1" ht="43.5" hidden="1" customHeight="1" x14ac:dyDescent="0.3">
      <c r="A85" s="463"/>
      <c r="B85" s="465"/>
      <c r="C85" s="127"/>
      <c r="D85" s="58"/>
      <c r="E85" s="58"/>
      <c r="F85" s="58"/>
      <c r="G85" s="58"/>
      <c r="H85" s="58"/>
      <c r="I85" s="24" t="s">
        <v>114</v>
      </c>
      <c r="J85" s="133">
        <v>177670.89</v>
      </c>
      <c r="K85" s="137"/>
      <c r="L85" s="137"/>
      <c r="M85" s="188"/>
      <c r="N85" s="17" t="s">
        <v>143</v>
      </c>
      <c r="O85" s="28">
        <v>42100</v>
      </c>
      <c r="P85" s="77">
        <v>42130</v>
      </c>
      <c r="Q85" s="58"/>
      <c r="R85" s="134"/>
      <c r="S85" s="135"/>
      <c r="T85" s="63"/>
      <c r="U85" s="136"/>
    </row>
    <row r="86" spans="1:21" s="8" customFormat="1" ht="42.75" hidden="1" customHeight="1" x14ac:dyDescent="0.3">
      <c r="A86" s="463">
        <v>14</v>
      </c>
      <c r="B86" s="465" t="s">
        <v>144</v>
      </c>
      <c r="C86" s="480">
        <v>1975</v>
      </c>
      <c r="D86" s="465" t="s">
        <v>145</v>
      </c>
      <c r="E86" s="465">
        <v>5</v>
      </c>
      <c r="F86" s="465">
        <v>4</v>
      </c>
      <c r="G86" s="465">
        <v>4354.3</v>
      </c>
      <c r="H86" s="465">
        <v>108</v>
      </c>
      <c r="I86" s="53" t="s">
        <v>64</v>
      </c>
      <c r="J86" s="122">
        <v>500000</v>
      </c>
      <c r="K86" s="483">
        <f>J86+J87+J88+J89</f>
        <v>1000000</v>
      </c>
      <c r="L86" s="483">
        <f>926898.37+73101.63</f>
        <v>1000000</v>
      </c>
      <c r="M86" s="485">
        <f>K86-L86</f>
        <v>0</v>
      </c>
      <c r="N86" s="454" t="s">
        <v>146</v>
      </c>
      <c r="O86" s="489">
        <v>41949</v>
      </c>
      <c r="P86" s="50">
        <v>42050</v>
      </c>
      <c r="Q86" s="465" t="s">
        <v>147</v>
      </c>
      <c r="R86" s="125">
        <v>1</v>
      </c>
      <c r="S86" s="126"/>
      <c r="T86" s="468">
        <f>AVERAGE(R86:R88)</f>
        <v>0.95</v>
      </c>
      <c r="U86" s="73"/>
    </row>
    <row r="87" spans="1:21" s="9" customFormat="1" ht="28.5" hidden="1" customHeight="1" x14ac:dyDescent="0.3">
      <c r="A87" s="463"/>
      <c r="B87" s="465"/>
      <c r="C87" s="480"/>
      <c r="D87" s="465"/>
      <c r="E87" s="465"/>
      <c r="F87" s="465"/>
      <c r="G87" s="465"/>
      <c r="H87" s="465"/>
      <c r="I87" s="215" t="s">
        <v>130</v>
      </c>
      <c r="J87" s="216">
        <v>100000</v>
      </c>
      <c r="K87" s="482"/>
      <c r="L87" s="482"/>
      <c r="M87" s="484"/>
      <c r="N87" s="488"/>
      <c r="O87" s="490"/>
      <c r="P87" s="217"/>
      <c r="Q87" s="465"/>
      <c r="R87" s="218"/>
      <c r="S87" s="135"/>
      <c r="T87" s="467"/>
      <c r="U87" s="219" t="s">
        <v>132</v>
      </c>
    </row>
    <row r="88" spans="1:21" s="8" customFormat="1" ht="182.25" hidden="1" customHeight="1" x14ac:dyDescent="0.3">
      <c r="A88" s="463"/>
      <c r="B88" s="465"/>
      <c r="C88" s="480"/>
      <c r="D88" s="465"/>
      <c r="E88" s="465"/>
      <c r="F88" s="465"/>
      <c r="G88" s="465"/>
      <c r="H88" s="465"/>
      <c r="I88" s="53" t="s">
        <v>43</v>
      </c>
      <c r="J88" s="122">
        <f>400000-73101.63</f>
        <v>326898.37</v>
      </c>
      <c r="K88" s="483"/>
      <c r="L88" s="483"/>
      <c r="M88" s="485"/>
      <c r="N88" s="454"/>
      <c r="O88" s="489"/>
      <c r="P88" s="138"/>
      <c r="Q88" s="465"/>
      <c r="R88" s="125">
        <v>0.9</v>
      </c>
      <c r="S88" s="126"/>
      <c r="T88" s="63">
        <v>0.9</v>
      </c>
      <c r="U88" s="102"/>
    </row>
    <row r="89" spans="1:21" ht="58.7" customHeight="1" x14ac:dyDescent="0.25">
      <c r="A89" s="464"/>
      <c r="B89" s="454"/>
      <c r="C89" s="127"/>
      <c r="D89" s="58"/>
      <c r="E89" s="58"/>
      <c r="F89" s="58"/>
      <c r="G89" s="58"/>
      <c r="H89" s="58"/>
      <c r="I89" s="53" t="s">
        <v>39</v>
      </c>
      <c r="J89" s="39">
        <v>73101.63</v>
      </c>
      <c r="K89" s="128"/>
      <c r="L89" s="128"/>
      <c r="M89" s="129"/>
      <c r="N89" s="253" t="s">
        <v>40</v>
      </c>
      <c r="O89" s="50">
        <v>42100</v>
      </c>
      <c r="P89" s="50">
        <v>42130</v>
      </c>
      <c r="Q89" s="58"/>
      <c r="R89" s="51"/>
      <c r="S89" s="126"/>
      <c r="T89" s="63"/>
      <c r="U89" s="102"/>
    </row>
    <row r="90" spans="1:21" s="10" customFormat="1" ht="51" hidden="1" customHeight="1" x14ac:dyDescent="0.3">
      <c r="A90" s="463">
        <v>15</v>
      </c>
      <c r="B90" s="465" t="s">
        <v>148</v>
      </c>
      <c r="C90" s="480">
        <v>1989</v>
      </c>
      <c r="D90" s="465" t="s">
        <v>149</v>
      </c>
      <c r="E90" s="465">
        <v>5</v>
      </c>
      <c r="F90" s="465">
        <v>11</v>
      </c>
      <c r="G90" s="465">
        <v>10709.5</v>
      </c>
      <c r="H90" s="465">
        <v>230</v>
      </c>
      <c r="I90" s="53" t="s">
        <v>37</v>
      </c>
      <c r="J90" s="139">
        <f>1000000-5226.08</f>
        <v>994773.92</v>
      </c>
      <c r="K90" s="476">
        <f>J91+J90+J92</f>
        <v>2000000</v>
      </c>
      <c r="L90" s="476">
        <f>1994773.92+5226.08</f>
        <v>2000000</v>
      </c>
      <c r="M90" s="485">
        <f>K90-L90</f>
        <v>0</v>
      </c>
      <c r="N90" s="140" t="s">
        <v>150</v>
      </c>
      <c r="O90" s="141">
        <v>41932</v>
      </c>
      <c r="P90" s="142">
        <v>42004</v>
      </c>
      <c r="Q90" s="58" t="s">
        <v>151</v>
      </c>
      <c r="R90" s="91">
        <v>1</v>
      </c>
      <c r="S90" s="143"/>
      <c r="T90" s="468">
        <f>AVERAGE(R90:R91)</f>
        <v>1</v>
      </c>
      <c r="U90" s="73"/>
    </row>
    <row r="91" spans="1:21" s="9" customFormat="1" ht="33.75" hidden="1" customHeight="1" x14ac:dyDescent="0.3">
      <c r="A91" s="463"/>
      <c r="B91" s="465"/>
      <c r="C91" s="480"/>
      <c r="D91" s="465"/>
      <c r="E91" s="465"/>
      <c r="F91" s="465"/>
      <c r="G91" s="465"/>
      <c r="H91" s="465"/>
      <c r="I91" s="215" t="s">
        <v>64</v>
      </c>
      <c r="J91" s="220">
        <v>1000000</v>
      </c>
      <c r="K91" s="478"/>
      <c r="L91" s="478"/>
      <c r="M91" s="484"/>
      <c r="N91" s="221"/>
      <c r="O91" s="222"/>
      <c r="P91" s="222"/>
      <c r="Q91" s="30"/>
      <c r="R91" s="223"/>
      <c r="S91" s="31"/>
      <c r="T91" s="467"/>
      <c r="U91" s="219" t="s">
        <v>132</v>
      </c>
    </row>
    <row r="92" spans="1:21" s="14" customFormat="1" ht="62.85" customHeight="1" x14ac:dyDescent="0.25">
      <c r="A92" s="464"/>
      <c r="B92" s="454"/>
      <c r="C92" s="127"/>
      <c r="D92" s="58"/>
      <c r="E92" s="58"/>
      <c r="F92" s="58"/>
      <c r="G92" s="58"/>
      <c r="H92" s="58"/>
      <c r="I92" s="53" t="s">
        <v>39</v>
      </c>
      <c r="J92" s="163">
        <v>5226.08</v>
      </c>
      <c r="K92" s="145"/>
      <c r="L92" s="145"/>
      <c r="M92" s="129"/>
      <c r="N92" s="253" t="s">
        <v>40</v>
      </c>
      <c r="O92" s="50">
        <v>42100</v>
      </c>
      <c r="P92" s="50">
        <v>42130</v>
      </c>
      <c r="Q92" s="58"/>
      <c r="R92" s="51"/>
      <c r="S92" s="31"/>
      <c r="T92" s="63"/>
      <c r="U92" s="45"/>
    </row>
    <row r="93" spans="1:21" s="199" customFormat="1" ht="66" hidden="1" customHeight="1" x14ac:dyDescent="0.3">
      <c r="A93" s="433" t="s">
        <v>152</v>
      </c>
      <c r="B93" s="433"/>
      <c r="C93" s="113" t="s">
        <v>126</v>
      </c>
      <c r="D93" s="113" t="s">
        <v>126</v>
      </c>
      <c r="E93" s="113" t="s">
        <v>126</v>
      </c>
      <c r="F93" s="113" t="s">
        <v>126</v>
      </c>
      <c r="G93" s="146">
        <v>23696.1</v>
      </c>
      <c r="H93" s="146">
        <f>SUM(H76:H91)</f>
        <v>600</v>
      </c>
      <c r="I93" s="193" t="s">
        <v>126</v>
      </c>
      <c r="J93" s="200">
        <f>SUM(J76:J92)</f>
        <v>6541411.9299999997</v>
      </c>
      <c r="K93" s="200">
        <f>SUM(K76:K91)</f>
        <v>6541411.9299999997</v>
      </c>
      <c r="L93" s="200">
        <f>SUM(L76:L91)</f>
        <v>6541411.9299999997</v>
      </c>
      <c r="M93" s="201">
        <f>SUM(M76:M91)</f>
        <v>0</v>
      </c>
      <c r="N93" s="196" t="s">
        <v>126</v>
      </c>
      <c r="O93" s="196" t="s">
        <v>126</v>
      </c>
      <c r="P93" s="196" t="s">
        <v>126</v>
      </c>
      <c r="Q93" s="113" t="s">
        <v>126</v>
      </c>
      <c r="R93" s="196"/>
      <c r="S93" s="113" t="s">
        <v>126</v>
      </c>
      <c r="T93" s="197">
        <f>AVERAGE(T76:T91)</f>
        <v>0.93333333333333346</v>
      </c>
      <c r="U93" s="198" t="s">
        <v>126</v>
      </c>
    </row>
    <row r="94" spans="1:21" s="6" customFormat="1" ht="42.75" hidden="1" customHeight="1" x14ac:dyDescent="0.3">
      <c r="A94" s="466" t="s">
        <v>153</v>
      </c>
      <c r="B94" s="466"/>
      <c r="C94" s="466"/>
      <c r="D94" s="466"/>
      <c r="E94" s="466"/>
      <c r="F94" s="466"/>
      <c r="G94" s="466"/>
      <c r="H94" s="466"/>
      <c r="I94" s="466"/>
      <c r="J94" s="466"/>
      <c r="K94" s="466"/>
      <c r="L94" s="466"/>
      <c r="M94" s="466"/>
      <c r="N94" s="466"/>
      <c r="O94" s="466"/>
      <c r="P94" s="466"/>
      <c r="Q94" s="466"/>
      <c r="R94" s="116"/>
      <c r="S94" s="117"/>
      <c r="T94" s="117"/>
      <c r="U94" s="118"/>
    </row>
    <row r="95" spans="1:21" s="9" customFormat="1" ht="30.75" hidden="1" customHeight="1" x14ac:dyDescent="0.3">
      <c r="A95" s="463">
        <v>16</v>
      </c>
      <c r="B95" s="465" t="s">
        <v>154</v>
      </c>
      <c r="C95" s="480">
        <v>1981</v>
      </c>
      <c r="D95" s="465" t="s">
        <v>155</v>
      </c>
      <c r="E95" s="465">
        <v>5</v>
      </c>
      <c r="F95" s="465">
        <v>3</v>
      </c>
      <c r="G95" s="465">
        <v>4190</v>
      </c>
      <c r="H95" s="465">
        <v>310</v>
      </c>
      <c r="I95" s="224" t="s">
        <v>29</v>
      </c>
      <c r="J95" s="220">
        <v>150000</v>
      </c>
      <c r="K95" s="478">
        <f>J95+J96+J97+J98+J99</f>
        <v>1800000</v>
      </c>
      <c r="L95" s="478">
        <f>1796774.04+3225.96</f>
        <v>1800000</v>
      </c>
      <c r="M95" s="479">
        <f>K95-L95</f>
        <v>0</v>
      </c>
      <c r="N95" s="224"/>
      <c r="O95" s="217"/>
      <c r="P95" s="217"/>
      <c r="Q95" s="481" t="s">
        <v>156</v>
      </c>
      <c r="R95" s="223"/>
      <c r="S95" s="31"/>
      <c r="T95" s="467">
        <f>AVERAGE(R95:R98)</f>
        <v>1</v>
      </c>
      <c r="U95" s="219" t="s">
        <v>132</v>
      </c>
    </row>
    <row r="96" spans="1:21" s="10" customFormat="1" ht="30.75" hidden="1" customHeight="1" x14ac:dyDescent="0.3">
      <c r="A96" s="463"/>
      <c r="B96" s="465"/>
      <c r="C96" s="480"/>
      <c r="D96" s="465"/>
      <c r="E96" s="465"/>
      <c r="F96" s="465"/>
      <c r="G96" s="465"/>
      <c r="H96" s="465"/>
      <c r="I96" s="46" t="s">
        <v>57</v>
      </c>
      <c r="J96" s="139">
        <v>700000</v>
      </c>
      <c r="K96" s="476"/>
      <c r="L96" s="476"/>
      <c r="M96" s="477"/>
      <c r="N96" s="454" t="s">
        <v>157</v>
      </c>
      <c r="O96" s="486">
        <v>41941</v>
      </c>
      <c r="P96" s="49">
        <v>42063</v>
      </c>
      <c r="Q96" s="481"/>
      <c r="R96" s="51">
        <v>1</v>
      </c>
      <c r="S96" s="59"/>
      <c r="T96" s="468"/>
      <c r="U96" s="73"/>
    </row>
    <row r="97" spans="1:21" s="10" customFormat="1" ht="30.75" hidden="1" customHeight="1" x14ac:dyDescent="0.3">
      <c r="A97" s="463"/>
      <c r="B97" s="465"/>
      <c r="C97" s="480"/>
      <c r="D97" s="465"/>
      <c r="E97" s="465"/>
      <c r="F97" s="465"/>
      <c r="G97" s="465"/>
      <c r="H97" s="465"/>
      <c r="I97" s="53" t="s">
        <v>37</v>
      </c>
      <c r="J97" s="139">
        <f>800000-3225.96</f>
        <v>796774.04</v>
      </c>
      <c r="K97" s="476"/>
      <c r="L97" s="476"/>
      <c r="M97" s="477"/>
      <c r="N97" s="454"/>
      <c r="O97" s="486"/>
      <c r="P97" s="50">
        <v>42050</v>
      </c>
      <c r="Q97" s="481"/>
      <c r="R97" s="51">
        <v>1</v>
      </c>
      <c r="S97" s="59"/>
      <c r="T97" s="468"/>
      <c r="U97" s="73"/>
    </row>
    <row r="98" spans="1:21" s="9" customFormat="1" ht="30.75" hidden="1" customHeight="1" x14ac:dyDescent="0.3">
      <c r="A98" s="463"/>
      <c r="B98" s="465"/>
      <c r="C98" s="480"/>
      <c r="D98" s="465"/>
      <c r="E98" s="465"/>
      <c r="F98" s="465"/>
      <c r="G98" s="465"/>
      <c r="H98" s="465"/>
      <c r="I98" s="215" t="s">
        <v>33</v>
      </c>
      <c r="J98" s="220">
        <v>150000</v>
      </c>
      <c r="K98" s="478"/>
      <c r="L98" s="478"/>
      <c r="M98" s="479"/>
      <c r="N98" s="224"/>
      <c r="O98" s="217"/>
      <c r="P98" s="217"/>
      <c r="Q98" s="481"/>
      <c r="R98" s="223"/>
      <c r="S98" s="31"/>
      <c r="T98" s="467"/>
      <c r="U98" s="219" t="s">
        <v>132</v>
      </c>
    </row>
    <row r="99" spans="1:21" s="14" customFormat="1" ht="61.9" customHeight="1" x14ac:dyDescent="0.25">
      <c r="A99" s="464"/>
      <c r="B99" s="454"/>
      <c r="C99" s="127"/>
      <c r="D99" s="58"/>
      <c r="E99" s="58"/>
      <c r="F99" s="58"/>
      <c r="G99" s="58"/>
      <c r="H99" s="58"/>
      <c r="I99" s="53" t="s">
        <v>39</v>
      </c>
      <c r="J99" s="163">
        <v>3225.96</v>
      </c>
      <c r="K99" s="145"/>
      <c r="L99" s="145"/>
      <c r="M99" s="147"/>
      <c r="N99" s="253" t="s">
        <v>40</v>
      </c>
      <c r="O99" s="50">
        <v>42100</v>
      </c>
      <c r="P99" s="50">
        <v>42130</v>
      </c>
      <c r="Q99" s="58"/>
      <c r="R99" s="51"/>
      <c r="S99" s="31"/>
      <c r="T99" s="63"/>
      <c r="U99" s="45"/>
    </row>
    <row r="100" spans="1:21" s="9" customFormat="1" ht="32.25" hidden="1" customHeight="1" x14ac:dyDescent="0.3">
      <c r="A100" s="463">
        <v>17</v>
      </c>
      <c r="B100" s="465" t="s">
        <v>158</v>
      </c>
      <c r="C100" s="480">
        <v>1981</v>
      </c>
      <c r="D100" s="465" t="s">
        <v>155</v>
      </c>
      <c r="E100" s="465">
        <v>5</v>
      </c>
      <c r="F100" s="465">
        <v>4</v>
      </c>
      <c r="G100" s="465">
        <v>2950</v>
      </c>
      <c r="H100" s="465">
        <v>122</v>
      </c>
      <c r="I100" s="224" t="s">
        <v>29</v>
      </c>
      <c r="J100" s="220">
        <v>100000</v>
      </c>
      <c r="K100" s="478">
        <f>J100+J101+J102+J103+J104+J105</f>
        <v>1650000</v>
      </c>
      <c r="L100" s="478">
        <f>1646176.03+3823.97</f>
        <v>1650000</v>
      </c>
      <c r="M100" s="479">
        <f>K100-L100</f>
        <v>0</v>
      </c>
      <c r="N100" s="224"/>
      <c r="O100" s="225"/>
      <c r="P100" s="226"/>
      <c r="Q100" s="481" t="s">
        <v>156</v>
      </c>
      <c r="R100" s="223"/>
      <c r="S100" s="31"/>
      <c r="T100" s="467">
        <f>AVERAGE(R100:R104)</f>
        <v>1</v>
      </c>
      <c r="U100" s="219" t="s">
        <v>132</v>
      </c>
    </row>
    <row r="101" spans="1:21" s="9" customFormat="1" ht="32.25" hidden="1" customHeight="1" x14ac:dyDescent="0.3">
      <c r="A101" s="463"/>
      <c r="B101" s="465"/>
      <c r="C101" s="480"/>
      <c r="D101" s="465"/>
      <c r="E101" s="465"/>
      <c r="F101" s="465"/>
      <c r="G101" s="465"/>
      <c r="H101" s="465"/>
      <c r="I101" s="224" t="s">
        <v>57</v>
      </c>
      <c r="J101" s="220">
        <v>250000</v>
      </c>
      <c r="K101" s="478"/>
      <c r="L101" s="478"/>
      <c r="M101" s="479"/>
      <c r="N101" s="224"/>
      <c r="O101" s="225"/>
      <c r="P101" s="225"/>
      <c r="Q101" s="481"/>
      <c r="R101" s="223"/>
      <c r="S101" s="31"/>
      <c r="T101" s="467"/>
      <c r="U101" s="219" t="s">
        <v>132</v>
      </c>
    </row>
    <row r="102" spans="1:21" s="10" customFormat="1" ht="54.4" hidden="1" customHeight="1" x14ac:dyDescent="0.3">
      <c r="A102" s="463"/>
      <c r="B102" s="465"/>
      <c r="C102" s="480"/>
      <c r="D102" s="465"/>
      <c r="E102" s="465"/>
      <c r="F102" s="465"/>
      <c r="G102" s="465"/>
      <c r="H102" s="465"/>
      <c r="I102" s="53" t="s">
        <v>37</v>
      </c>
      <c r="J102" s="139">
        <f>300000-3823.97</f>
        <v>296176.03000000003</v>
      </c>
      <c r="K102" s="476"/>
      <c r="L102" s="476"/>
      <c r="M102" s="477"/>
      <c r="N102" s="40" t="s">
        <v>159</v>
      </c>
      <c r="O102" s="49">
        <v>41968</v>
      </c>
      <c r="P102" s="49">
        <v>42063</v>
      </c>
      <c r="Q102" s="481"/>
      <c r="R102" s="51">
        <v>1</v>
      </c>
      <c r="S102" s="59"/>
      <c r="T102" s="468"/>
      <c r="U102" s="73"/>
    </row>
    <row r="103" spans="1:21" s="9" customFormat="1" ht="32.25" hidden="1" customHeight="1" x14ac:dyDescent="0.3">
      <c r="A103" s="463"/>
      <c r="B103" s="465"/>
      <c r="C103" s="480"/>
      <c r="D103" s="465"/>
      <c r="E103" s="465"/>
      <c r="F103" s="465"/>
      <c r="G103" s="465"/>
      <c r="H103" s="465"/>
      <c r="I103" s="215" t="s">
        <v>33</v>
      </c>
      <c r="J103" s="220">
        <v>100000</v>
      </c>
      <c r="K103" s="478"/>
      <c r="L103" s="478"/>
      <c r="M103" s="479"/>
      <c r="N103" s="224"/>
      <c r="O103" s="225"/>
      <c r="P103" s="225"/>
      <c r="Q103" s="481"/>
      <c r="R103" s="223"/>
      <c r="S103" s="31"/>
      <c r="T103" s="467"/>
      <c r="U103" s="219" t="s">
        <v>132</v>
      </c>
    </row>
    <row r="104" spans="1:21" s="10" customFormat="1" ht="40.5" hidden="1" customHeight="1" x14ac:dyDescent="0.3">
      <c r="A104" s="463"/>
      <c r="B104" s="465"/>
      <c r="C104" s="480"/>
      <c r="D104" s="465"/>
      <c r="E104" s="465"/>
      <c r="F104" s="465"/>
      <c r="G104" s="465"/>
      <c r="H104" s="465"/>
      <c r="I104" s="40" t="s">
        <v>35</v>
      </c>
      <c r="J104" s="139">
        <v>900000</v>
      </c>
      <c r="K104" s="476"/>
      <c r="L104" s="476"/>
      <c r="M104" s="477"/>
      <c r="N104" s="40" t="s">
        <v>160</v>
      </c>
      <c r="O104" s="49">
        <v>41957</v>
      </c>
      <c r="P104" s="50">
        <v>42050</v>
      </c>
      <c r="Q104" s="481"/>
      <c r="R104" s="51">
        <v>1</v>
      </c>
      <c r="S104" s="59"/>
      <c r="T104" s="468"/>
      <c r="U104" s="73"/>
    </row>
    <row r="105" spans="1:21" s="12" customFormat="1" ht="67.150000000000006" customHeight="1" x14ac:dyDescent="0.25">
      <c r="A105" s="464"/>
      <c r="B105" s="454"/>
      <c r="C105" s="127"/>
      <c r="D105" s="58"/>
      <c r="E105" s="58"/>
      <c r="F105" s="58"/>
      <c r="G105" s="58"/>
      <c r="H105" s="58"/>
      <c r="I105" s="53" t="s">
        <v>39</v>
      </c>
      <c r="J105" s="163">
        <v>3823.97</v>
      </c>
      <c r="K105" s="145"/>
      <c r="L105" s="145"/>
      <c r="M105" s="147"/>
      <c r="N105" s="253" t="s">
        <v>40</v>
      </c>
      <c r="O105" s="50">
        <v>42100</v>
      </c>
      <c r="P105" s="50">
        <v>42130</v>
      </c>
      <c r="Q105" s="58"/>
      <c r="R105" s="51"/>
      <c r="S105" s="59"/>
      <c r="T105" s="63"/>
      <c r="U105" s="73"/>
    </row>
    <row r="106" spans="1:21" s="9" customFormat="1" ht="54" hidden="1" customHeight="1" x14ac:dyDescent="0.3">
      <c r="A106" s="463">
        <v>26</v>
      </c>
      <c r="B106" s="465" t="s">
        <v>161</v>
      </c>
      <c r="C106" s="465">
        <v>1984</v>
      </c>
      <c r="D106" s="465" t="s">
        <v>155</v>
      </c>
      <c r="E106" s="465">
        <v>5</v>
      </c>
      <c r="F106" s="465">
        <v>10</v>
      </c>
      <c r="G106" s="465">
        <v>6387</v>
      </c>
      <c r="H106" s="465">
        <v>297</v>
      </c>
      <c r="I106" s="40" t="s">
        <v>29</v>
      </c>
      <c r="J106" s="139">
        <v>200000</v>
      </c>
      <c r="K106" s="483">
        <f>J106+J107+J108+J109+J110+J111+J112</f>
        <v>3950000</v>
      </c>
      <c r="L106" s="483">
        <f>3532524.97+417475.03</f>
        <v>3950000</v>
      </c>
      <c r="M106" s="487">
        <f>K106-L106</f>
        <v>0</v>
      </c>
      <c r="N106" s="17" t="s">
        <v>162</v>
      </c>
      <c r="O106" s="28">
        <v>41941</v>
      </c>
      <c r="P106" s="28">
        <v>42063</v>
      </c>
      <c r="Q106" s="465" t="s">
        <v>156</v>
      </c>
      <c r="R106" s="20">
        <v>1</v>
      </c>
      <c r="S106" s="31"/>
      <c r="T106" s="468">
        <f>AVERAGE(R106:R111)</f>
        <v>1</v>
      </c>
      <c r="U106" s="136"/>
    </row>
    <row r="107" spans="1:21" s="9" customFormat="1" ht="36.75" hidden="1" customHeight="1" x14ac:dyDescent="0.3">
      <c r="A107" s="463"/>
      <c r="B107" s="465"/>
      <c r="C107" s="465"/>
      <c r="D107" s="465"/>
      <c r="E107" s="465"/>
      <c r="F107" s="465"/>
      <c r="G107" s="465"/>
      <c r="H107" s="465"/>
      <c r="I107" s="215" t="s">
        <v>64</v>
      </c>
      <c r="J107" s="220">
        <v>300000</v>
      </c>
      <c r="K107" s="482"/>
      <c r="L107" s="482"/>
      <c r="M107" s="482"/>
      <c r="N107" s="227"/>
      <c r="O107" s="228"/>
      <c r="P107" s="228"/>
      <c r="Q107" s="465"/>
      <c r="R107" s="229"/>
      <c r="S107" s="31"/>
      <c r="T107" s="467"/>
      <c r="U107" s="219" t="s">
        <v>132</v>
      </c>
    </row>
    <row r="108" spans="1:21" s="9" customFormat="1" ht="36.75" hidden="1" customHeight="1" x14ac:dyDescent="0.3">
      <c r="A108" s="463"/>
      <c r="B108" s="465"/>
      <c r="C108" s="465"/>
      <c r="D108" s="465"/>
      <c r="E108" s="465"/>
      <c r="F108" s="465"/>
      <c r="G108" s="465"/>
      <c r="H108" s="465"/>
      <c r="I108" s="53" t="s">
        <v>37</v>
      </c>
      <c r="J108" s="139">
        <v>800000</v>
      </c>
      <c r="K108" s="483"/>
      <c r="L108" s="483"/>
      <c r="M108" s="487"/>
      <c r="N108" s="454" t="s">
        <v>162</v>
      </c>
      <c r="O108" s="460">
        <v>41941</v>
      </c>
      <c r="P108" s="90">
        <v>42063</v>
      </c>
      <c r="Q108" s="465"/>
      <c r="R108" s="91">
        <v>1</v>
      </c>
      <c r="S108" s="31"/>
      <c r="T108" s="468"/>
      <c r="U108" s="45"/>
    </row>
    <row r="109" spans="1:21" s="9" customFormat="1" ht="66" hidden="1" customHeight="1" x14ac:dyDescent="0.3">
      <c r="A109" s="463"/>
      <c r="B109" s="465"/>
      <c r="C109" s="465"/>
      <c r="D109" s="465"/>
      <c r="E109" s="465"/>
      <c r="F109" s="465"/>
      <c r="G109" s="465"/>
      <c r="H109" s="465"/>
      <c r="I109" s="53" t="s">
        <v>33</v>
      </c>
      <c r="J109" s="139">
        <v>300000</v>
      </c>
      <c r="K109" s="483"/>
      <c r="L109" s="483"/>
      <c r="M109" s="487"/>
      <c r="N109" s="454"/>
      <c r="O109" s="460"/>
      <c r="P109" s="90">
        <v>42063</v>
      </c>
      <c r="Q109" s="465"/>
      <c r="R109" s="91">
        <v>1</v>
      </c>
      <c r="S109" s="31"/>
      <c r="T109" s="468"/>
      <c r="U109" s="45"/>
    </row>
    <row r="110" spans="1:21" s="10" customFormat="1" ht="100.15" hidden="1" customHeight="1" x14ac:dyDescent="0.3">
      <c r="A110" s="463"/>
      <c r="B110" s="465"/>
      <c r="C110" s="465"/>
      <c r="D110" s="465"/>
      <c r="E110" s="465"/>
      <c r="F110" s="465"/>
      <c r="G110" s="465"/>
      <c r="H110" s="465"/>
      <c r="I110" s="40" t="s">
        <v>43</v>
      </c>
      <c r="J110" s="139">
        <f>1000000-417475.03</f>
        <v>582524.97</v>
      </c>
      <c r="K110" s="483"/>
      <c r="L110" s="483"/>
      <c r="M110" s="487"/>
      <c r="N110" s="40"/>
      <c r="O110" s="103"/>
      <c r="P110" s="103"/>
      <c r="Q110" s="465"/>
      <c r="R110" s="51"/>
      <c r="S110" s="59"/>
      <c r="T110" s="468"/>
      <c r="U110" s="102"/>
    </row>
    <row r="111" spans="1:21" s="9" customFormat="1" ht="29.25" hidden="1" customHeight="1" x14ac:dyDescent="0.3">
      <c r="A111" s="463"/>
      <c r="B111" s="465"/>
      <c r="C111" s="465"/>
      <c r="D111" s="465"/>
      <c r="E111" s="465"/>
      <c r="F111" s="465"/>
      <c r="G111" s="465"/>
      <c r="H111" s="465"/>
      <c r="I111" s="224" t="s">
        <v>35</v>
      </c>
      <c r="J111" s="220">
        <v>1350000</v>
      </c>
      <c r="K111" s="482"/>
      <c r="L111" s="482"/>
      <c r="M111" s="482"/>
      <c r="N111" s="224"/>
      <c r="O111" s="225"/>
      <c r="P111" s="225"/>
      <c r="Q111" s="465"/>
      <c r="R111" s="223"/>
      <c r="S111" s="31"/>
      <c r="T111" s="467"/>
      <c r="U111" s="219" t="s">
        <v>132</v>
      </c>
    </row>
    <row r="112" spans="1:21" s="9" customFormat="1" ht="89.65" hidden="1" customHeight="1" x14ac:dyDescent="0.3">
      <c r="A112" s="463"/>
      <c r="B112" s="465"/>
      <c r="C112" s="58"/>
      <c r="D112" s="58"/>
      <c r="E112" s="58"/>
      <c r="F112" s="58"/>
      <c r="G112" s="58"/>
      <c r="H112" s="58"/>
      <c r="I112" s="40" t="s">
        <v>60</v>
      </c>
      <c r="J112" s="139">
        <v>417475.03</v>
      </c>
      <c r="K112" s="128"/>
      <c r="L112" s="128"/>
      <c r="M112" s="190"/>
      <c r="N112" s="40" t="s">
        <v>163</v>
      </c>
      <c r="O112" s="149">
        <v>42100</v>
      </c>
      <c r="P112" s="149">
        <v>42130</v>
      </c>
      <c r="Q112" s="58"/>
      <c r="R112" s="91"/>
      <c r="S112" s="31"/>
      <c r="T112" s="63"/>
      <c r="U112" s="45"/>
    </row>
    <row r="113" spans="1:21" s="9" customFormat="1" ht="29.25" hidden="1" customHeight="1" x14ac:dyDescent="0.3">
      <c r="A113" s="463">
        <v>18</v>
      </c>
      <c r="B113" s="465" t="s">
        <v>164</v>
      </c>
      <c r="C113" s="465">
        <v>1984</v>
      </c>
      <c r="D113" s="465" t="s">
        <v>155</v>
      </c>
      <c r="E113" s="465">
        <v>5</v>
      </c>
      <c r="F113" s="465">
        <v>4</v>
      </c>
      <c r="G113" s="465">
        <v>2743</v>
      </c>
      <c r="H113" s="465">
        <v>127</v>
      </c>
      <c r="I113" s="215" t="s">
        <v>64</v>
      </c>
      <c r="J113" s="220">
        <v>150000</v>
      </c>
      <c r="K113" s="482">
        <f>J113+J114+J115+J116+J117+J118</f>
        <v>2100000</v>
      </c>
      <c r="L113" s="482">
        <f>2097661.45+2338.55</f>
        <v>2100000</v>
      </c>
      <c r="M113" s="484">
        <f>K113-L113</f>
        <v>0</v>
      </c>
      <c r="N113" s="224"/>
      <c r="O113" s="225"/>
      <c r="P113" s="226"/>
      <c r="Q113" s="465" t="s">
        <v>156</v>
      </c>
      <c r="R113" s="223"/>
      <c r="S113" s="31"/>
      <c r="T113" s="467">
        <f>AVERAGE(R113:R117)</f>
        <v>1</v>
      </c>
      <c r="U113" s="219" t="s">
        <v>132</v>
      </c>
    </row>
    <row r="114" spans="1:21" s="10" customFormat="1" ht="48.95" hidden="1" customHeight="1" x14ac:dyDescent="0.3">
      <c r="A114" s="463"/>
      <c r="B114" s="465"/>
      <c r="C114" s="465"/>
      <c r="D114" s="465"/>
      <c r="E114" s="465"/>
      <c r="F114" s="465"/>
      <c r="G114" s="465"/>
      <c r="H114" s="465"/>
      <c r="I114" s="53" t="s">
        <v>37</v>
      </c>
      <c r="J114" s="139">
        <f>400000-2338.55</f>
        <v>397661.45</v>
      </c>
      <c r="K114" s="483"/>
      <c r="L114" s="483"/>
      <c r="M114" s="485"/>
      <c r="N114" s="454" t="s">
        <v>165</v>
      </c>
      <c r="O114" s="486">
        <v>41968</v>
      </c>
      <c r="P114" s="49">
        <v>42063</v>
      </c>
      <c r="Q114" s="465"/>
      <c r="R114" s="51">
        <v>1</v>
      </c>
      <c r="S114" s="59"/>
      <c r="T114" s="468"/>
      <c r="U114" s="73"/>
    </row>
    <row r="115" spans="1:21" s="10" customFormat="1" ht="45.75" hidden="1" customHeight="1" x14ac:dyDescent="0.3">
      <c r="A115" s="463"/>
      <c r="B115" s="465"/>
      <c r="C115" s="465"/>
      <c r="D115" s="465"/>
      <c r="E115" s="465"/>
      <c r="F115" s="465"/>
      <c r="G115" s="465"/>
      <c r="H115" s="465"/>
      <c r="I115" s="54" t="s">
        <v>33</v>
      </c>
      <c r="J115" s="139">
        <v>150000</v>
      </c>
      <c r="K115" s="483"/>
      <c r="L115" s="483"/>
      <c r="M115" s="485"/>
      <c r="N115" s="454"/>
      <c r="O115" s="486"/>
      <c r="P115" s="49">
        <v>42063</v>
      </c>
      <c r="Q115" s="465"/>
      <c r="R115" s="51">
        <v>1</v>
      </c>
      <c r="S115" s="59"/>
      <c r="T115" s="468"/>
      <c r="U115" s="73"/>
    </row>
    <row r="116" spans="1:21" s="10" customFormat="1" ht="46.9" hidden="1" customHeight="1" x14ac:dyDescent="0.3">
      <c r="A116" s="463"/>
      <c r="B116" s="465"/>
      <c r="C116" s="465"/>
      <c r="D116" s="465"/>
      <c r="E116" s="465"/>
      <c r="F116" s="465"/>
      <c r="G116" s="465"/>
      <c r="H116" s="465"/>
      <c r="I116" s="40" t="s">
        <v>35</v>
      </c>
      <c r="J116" s="139">
        <v>600000</v>
      </c>
      <c r="K116" s="483"/>
      <c r="L116" s="483"/>
      <c r="M116" s="485"/>
      <c r="N116" s="40" t="s">
        <v>166</v>
      </c>
      <c r="O116" s="49">
        <v>41957</v>
      </c>
      <c r="P116" s="50">
        <v>42050</v>
      </c>
      <c r="Q116" s="465"/>
      <c r="R116" s="51">
        <v>1</v>
      </c>
      <c r="S116" s="59"/>
      <c r="T116" s="468"/>
      <c r="U116" s="73"/>
    </row>
    <row r="117" spans="1:21" s="9" customFormat="1" ht="42.6" hidden="1" customHeight="1" x14ac:dyDescent="0.3">
      <c r="A117" s="463"/>
      <c r="B117" s="465"/>
      <c r="C117" s="465"/>
      <c r="D117" s="465"/>
      <c r="E117" s="465"/>
      <c r="F117" s="465"/>
      <c r="G117" s="465"/>
      <c r="H117" s="465"/>
      <c r="I117" s="224" t="s">
        <v>43</v>
      </c>
      <c r="J117" s="220">
        <v>800000</v>
      </c>
      <c r="K117" s="482"/>
      <c r="L117" s="482"/>
      <c r="M117" s="484"/>
      <c r="N117" s="224"/>
      <c r="O117" s="225"/>
      <c r="P117" s="225"/>
      <c r="Q117" s="465"/>
      <c r="R117" s="223"/>
      <c r="S117" s="31"/>
      <c r="T117" s="467"/>
      <c r="U117" s="219" t="s">
        <v>132</v>
      </c>
    </row>
    <row r="118" spans="1:21" s="14" customFormat="1" ht="66" customHeight="1" x14ac:dyDescent="0.25">
      <c r="A118" s="464"/>
      <c r="B118" s="454"/>
      <c r="C118" s="58"/>
      <c r="D118" s="58"/>
      <c r="E118" s="58"/>
      <c r="F118" s="58"/>
      <c r="G118" s="58"/>
      <c r="H118" s="58"/>
      <c r="I118" s="53" t="s">
        <v>39</v>
      </c>
      <c r="J118" s="163">
        <v>2338.5500000000002</v>
      </c>
      <c r="K118" s="128"/>
      <c r="L118" s="128"/>
      <c r="M118" s="129"/>
      <c r="N118" s="253" t="s">
        <v>40</v>
      </c>
      <c r="O118" s="50">
        <v>42100</v>
      </c>
      <c r="P118" s="50">
        <v>42130</v>
      </c>
      <c r="Q118" s="58"/>
      <c r="R118" s="51"/>
      <c r="S118" s="31"/>
      <c r="T118" s="63"/>
      <c r="U118" s="150"/>
    </row>
    <row r="119" spans="1:21" s="9" customFormat="1" ht="30" hidden="1" customHeight="1" x14ac:dyDescent="0.3">
      <c r="A119" s="463">
        <v>19</v>
      </c>
      <c r="B119" s="465" t="s">
        <v>167</v>
      </c>
      <c r="C119" s="465">
        <v>1984</v>
      </c>
      <c r="D119" s="465" t="s">
        <v>155</v>
      </c>
      <c r="E119" s="465">
        <v>9</v>
      </c>
      <c r="F119" s="465">
        <v>2</v>
      </c>
      <c r="G119" s="465">
        <v>2400</v>
      </c>
      <c r="H119" s="465">
        <v>135</v>
      </c>
      <c r="I119" s="224" t="s">
        <v>29</v>
      </c>
      <c r="J119" s="220">
        <v>100000</v>
      </c>
      <c r="K119" s="482">
        <f>J119+J120+J121+J122+J123+J124</f>
        <v>1550000</v>
      </c>
      <c r="L119" s="482">
        <f>1508248.48+41751.52</f>
        <v>1550000</v>
      </c>
      <c r="M119" s="484">
        <f>K119-L119</f>
        <v>0</v>
      </c>
      <c r="N119" s="224"/>
      <c r="O119" s="225"/>
      <c r="P119" s="226"/>
      <c r="Q119" s="465" t="s">
        <v>156</v>
      </c>
      <c r="R119" s="223"/>
      <c r="S119" s="31"/>
      <c r="T119" s="467">
        <f>AVERAGE(R119:R123)</f>
        <v>1</v>
      </c>
      <c r="U119" s="219" t="s">
        <v>132</v>
      </c>
    </row>
    <row r="120" spans="1:21" s="10" customFormat="1" ht="28.5" hidden="1" customHeight="1" x14ac:dyDescent="0.3">
      <c r="A120" s="463"/>
      <c r="B120" s="465"/>
      <c r="C120" s="465"/>
      <c r="D120" s="465"/>
      <c r="E120" s="465"/>
      <c r="F120" s="465"/>
      <c r="G120" s="465"/>
      <c r="H120" s="465"/>
      <c r="I120" s="53" t="s">
        <v>37</v>
      </c>
      <c r="J120" s="139">
        <f>200000-41751.52</f>
        <v>158248.48000000001</v>
      </c>
      <c r="K120" s="483"/>
      <c r="L120" s="483"/>
      <c r="M120" s="485"/>
      <c r="N120" s="452" t="s">
        <v>168</v>
      </c>
      <c r="O120" s="486">
        <v>41941</v>
      </c>
      <c r="P120" s="49">
        <v>42063</v>
      </c>
      <c r="Q120" s="465"/>
      <c r="R120" s="51">
        <v>1</v>
      </c>
      <c r="S120" s="59"/>
      <c r="T120" s="468"/>
      <c r="U120" s="73"/>
    </row>
    <row r="121" spans="1:21" s="10" customFormat="1" ht="33" hidden="1" customHeight="1" x14ac:dyDescent="0.3">
      <c r="A121" s="463"/>
      <c r="B121" s="465"/>
      <c r="C121" s="465"/>
      <c r="D121" s="465"/>
      <c r="E121" s="465"/>
      <c r="F121" s="465"/>
      <c r="G121" s="465"/>
      <c r="H121" s="465"/>
      <c r="I121" s="54" t="s">
        <v>33</v>
      </c>
      <c r="J121" s="139">
        <v>100000</v>
      </c>
      <c r="K121" s="483"/>
      <c r="L121" s="483"/>
      <c r="M121" s="485"/>
      <c r="N121" s="452"/>
      <c r="O121" s="486"/>
      <c r="P121" s="50">
        <v>42050</v>
      </c>
      <c r="Q121" s="465"/>
      <c r="R121" s="51">
        <v>1</v>
      </c>
      <c r="S121" s="59"/>
      <c r="T121" s="468"/>
      <c r="U121" s="73"/>
    </row>
    <row r="122" spans="1:21" s="9" customFormat="1" ht="27" hidden="1" customHeight="1" x14ac:dyDescent="0.3">
      <c r="A122" s="463"/>
      <c r="B122" s="465"/>
      <c r="C122" s="465"/>
      <c r="D122" s="465"/>
      <c r="E122" s="465"/>
      <c r="F122" s="465"/>
      <c r="G122" s="465"/>
      <c r="H122" s="465"/>
      <c r="I122" s="224" t="s">
        <v>35</v>
      </c>
      <c r="J122" s="220">
        <v>350000</v>
      </c>
      <c r="K122" s="482"/>
      <c r="L122" s="482"/>
      <c r="M122" s="484"/>
      <c r="N122" s="224"/>
      <c r="O122" s="225"/>
      <c r="P122" s="225"/>
      <c r="Q122" s="465"/>
      <c r="R122" s="223"/>
      <c r="S122" s="31"/>
      <c r="T122" s="467"/>
      <c r="U122" s="219" t="s">
        <v>132</v>
      </c>
    </row>
    <row r="123" spans="1:21" s="9" customFormat="1" ht="32.25" hidden="1" customHeight="1" x14ac:dyDescent="0.3">
      <c r="A123" s="463"/>
      <c r="B123" s="465"/>
      <c r="C123" s="465"/>
      <c r="D123" s="465"/>
      <c r="E123" s="465"/>
      <c r="F123" s="465"/>
      <c r="G123" s="465"/>
      <c r="H123" s="465"/>
      <c r="I123" s="17" t="s">
        <v>43</v>
      </c>
      <c r="J123" s="144">
        <v>800000</v>
      </c>
      <c r="K123" s="483"/>
      <c r="L123" s="483"/>
      <c r="M123" s="485"/>
      <c r="N123" s="17" t="s">
        <v>168</v>
      </c>
      <c r="O123" s="28">
        <v>41941</v>
      </c>
      <c r="P123" s="77">
        <v>42050</v>
      </c>
      <c r="Q123" s="465"/>
      <c r="R123" s="20">
        <v>1</v>
      </c>
      <c r="S123" s="31"/>
      <c r="T123" s="468"/>
      <c r="U123" s="136"/>
    </row>
    <row r="124" spans="1:21" s="14" customFormat="1" ht="65.099999999999994" customHeight="1" x14ac:dyDescent="0.25">
      <c r="A124" s="464"/>
      <c r="B124" s="454"/>
      <c r="C124" s="58"/>
      <c r="D124" s="58"/>
      <c r="E124" s="58"/>
      <c r="F124" s="58"/>
      <c r="G124" s="58"/>
      <c r="H124" s="58"/>
      <c r="I124" s="53" t="s">
        <v>39</v>
      </c>
      <c r="J124" s="163">
        <v>41751.519999999997</v>
      </c>
      <c r="K124" s="128"/>
      <c r="L124" s="128"/>
      <c r="M124" s="129"/>
      <c r="N124" s="253" t="s">
        <v>40</v>
      </c>
      <c r="O124" s="50">
        <v>42100</v>
      </c>
      <c r="P124" s="50">
        <v>42130</v>
      </c>
      <c r="Q124" s="58"/>
      <c r="R124" s="51"/>
      <c r="S124" s="31"/>
      <c r="T124" s="63"/>
      <c r="U124" s="45"/>
    </row>
    <row r="125" spans="1:21" s="9" customFormat="1" ht="31.5" hidden="1" customHeight="1" x14ac:dyDescent="0.3">
      <c r="A125" s="463">
        <v>29</v>
      </c>
      <c r="B125" s="465" t="s">
        <v>169</v>
      </c>
      <c r="C125" s="480">
        <v>1987</v>
      </c>
      <c r="D125" s="465" t="s">
        <v>155</v>
      </c>
      <c r="E125" s="465">
        <v>5</v>
      </c>
      <c r="F125" s="465">
        <v>6</v>
      </c>
      <c r="G125" s="465">
        <v>4325.8500000000004</v>
      </c>
      <c r="H125" s="465">
        <v>141</v>
      </c>
      <c r="I125" s="17" t="s">
        <v>57</v>
      </c>
      <c r="J125" s="144">
        <v>100000</v>
      </c>
      <c r="K125" s="473">
        <f>J125+J126+J127+J128</f>
        <v>1750000</v>
      </c>
      <c r="L125" s="473">
        <f>1386040.73+363959.27</f>
        <v>1750000</v>
      </c>
      <c r="M125" s="474">
        <f>K125-L125</f>
        <v>0</v>
      </c>
      <c r="N125" s="469" t="s">
        <v>170</v>
      </c>
      <c r="O125" s="470">
        <v>41941</v>
      </c>
      <c r="P125" s="28">
        <v>42063</v>
      </c>
      <c r="Q125" s="481" t="s">
        <v>156</v>
      </c>
      <c r="R125" s="20">
        <v>1</v>
      </c>
      <c r="S125" s="31"/>
      <c r="T125" s="468">
        <f>AVERAGE(R125:R127)</f>
        <v>1</v>
      </c>
      <c r="U125" s="136"/>
    </row>
    <row r="126" spans="1:21" s="9" customFormat="1" ht="125.85" hidden="1" customHeight="1" x14ac:dyDescent="0.3">
      <c r="A126" s="463"/>
      <c r="B126" s="465"/>
      <c r="C126" s="480"/>
      <c r="D126" s="465"/>
      <c r="E126" s="465"/>
      <c r="F126" s="465"/>
      <c r="G126" s="465"/>
      <c r="H126" s="465"/>
      <c r="I126" s="24" t="s">
        <v>37</v>
      </c>
      <c r="J126" s="144">
        <v>300000</v>
      </c>
      <c r="K126" s="473"/>
      <c r="L126" s="473"/>
      <c r="M126" s="474"/>
      <c r="N126" s="469"/>
      <c r="O126" s="470"/>
      <c r="P126" s="77">
        <v>42050</v>
      </c>
      <c r="Q126" s="481"/>
      <c r="R126" s="20">
        <v>1</v>
      </c>
      <c r="S126" s="31"/>
      <c r="T126" s="468"/>
      <c r="U126" s="151"/>
    </row>
    <row r="127" spans="1:21" s="9" customFormat="1" ht="22.5" hidden="1" customHeight="1" x14ac:dyDescent="0.3">
      <c r="A127" s="463"/>
      <c r="B127" s="465"/>
      <c r="C127" s="480"/>
      <c r="D127" s="465"/>
      <c r="E127" s="465"/>
      <c r="F127" s="465"/>
      <c r="G127" s="465"/>
      <c r="H127" s="465"/>
      <c r="I127" s="215" t="s">
        <v>35</v>
      </c>
      <c r="J127" s="220">
        <f>1350000-363959.27</f>
        <v>986040.73</v>
      </c>
      <c r="K127" s="472"/>
      <c r="L127" s="472"/>
      <c r="M127" s="472"/>
      <c r="N127" s="224"/>
      <c r="O127" s="225"/>
      <c r="P127" s="225"/>
      <c r="Q127" s="481"/>
      <c r="R127" s="223"/>
      <c r="S127" s="31"/>
      <c r="T127" s="467"/>
      <c r="U127" s="219" t="s">
        <v>132</v>
      </c>
    </row>
    <row r="128" spans="1:21" s="9" customFormat="1" ht="37.35" hidden="1" customHeight="1" x14ac:dyDescent="0.3">
      <c r="A128" s="463"/>
      <c r="B128" s="465"/>
      <c r="C128" s="127"/>
      <c r="D128" s="58"/>
      <c r="E128" s="58"/>
      <c r="F128" s="58"/>
      <c r="G128" s="58"/>
      <c r="H128" s="58"/>
      <c r="I128" s="24" t="s">
        <v>114</v>
      </c>
      <c r="J128" s="144">
        <v>363959.27</v>
      </c>
      <c r="K128" s="152"/>
      <c r="L128" s="152"/>
      <c r="M128" s="191"/>
      <c r="N128" s="17" t="s">
        <v>171</v>
      </c>
      <c r="O128" s="148">
        <v>42100</v>
      </c>
      <c r="P128" s="148">
        <v>42130</v>
      </c>
      <c r="Q128" s="62"/>
      <c r="R128" s="20"/>
      <c r="S128" s="31"/>
      <c r="T128" s="63"/>
      <c r="U128" s="136"/>
    </row>
    <row r="129" spans="1:21" s="9" customFormat="1" ht="22.5" hidden="1" customHeight="1" x14ac:dyDescent="0.3">
      <c r="A129" s="463">
        <v>30</v>
      </c>
      <c r="B129" s="465" t="s">
        <v>172</v>
      </c>
      <c r="C129" s="480">
        <v>1967</v>
      </c>
      <c r="D129" s="465" t="s">
        <v>155</v>
      </c>
      <c r="E129" s="465">
        <v>5</v>
      </c>
      <c r="F129" s="465">
        <v>4</v>
      </c>
      <c r="G129" s="465">
        <v>2667.8</v>
      </c>
      <c r="H129" s="465">
        <v>117</v>
      </c>
      <c r="I129" s="215" t="s">
        <v>35</v>
      </c>
      <c r="J129" s="220">
        <v>0</v>
      </c>
      <c r="K129" s="472">
        <f>J130+J131</f>
        <v>1500000</v>
      </c>
      <c r="L129" s="472">
        <f>706326.61+793673.39</f>
        <v>1500000</v>
      </c>
      <c r="M129" s="472">
        <f>K129-L129</f>
        <v>0</v>
      </c>
      <c r="N129" s="224"/>
      <c r="O129" s="225"/>
      <c r="P129" s="226"/>
      <c r="Q129" s="481" t="s">
        <v>156</v>
      </c>
      <c r="R129" s="223"/>
      <c r="S129" s="31"/>
      <c r="T129" s="467">
        <f>AVERAGE(R129:R130)</f>
        <v>1</v>
      </c>
      <c r="U129" s="219" t="s">
        <v>132</v>
      </c>
    </row>
    <row r="130" spans="1:21" s="9" customFormat="1" ht="104.45" hidden="1" customHeight="1" x14ac:dyDescent="0.3">
      <c r="A130" s="463"/>
      <c r="B130" s="465"/>
      <c r="C130" s="480"/>
      <c r="D130" s="465"/>
      <c r="E130" s="465"/>
      <c r="F130" s="465"/>
      <c r="G130" s="465"/>
      <c r="H130" s="465"/>
      <c r="I130" s="17" t="s">
        <v>43</v>
      </c>
      <c r="J130" s="144">
        <v>706326.61</v>
      </c>
      <c r="K130" s="473"/>
      <c r="L130" s="473"/>
      <c r="M130" s="474"/>
      <c r="N130" s="17" t="s">
        <v>173</v>
      </c>
      <c r="O130" s="28">
        <v>41950</v>
      </c>
      <c r="P130" s="28">
        <v>42077</v>
      </c>
      <c r="Q130" s="481"/>
      <c r="R130" s="20">
        <v>1</v>
      </c>
      <c r="S130" s="31"/>
      <c r="T130" s="468"/>
      <c r="U130" s="151"/>
    </row>
    <row r="131" spans="1:21" s="9" customFormat="1" ht="72.400000000000006" hidden="1" customHeight="1" x14ac:dyDescent="0.3">
      <c r="A131" s="463"/>
      <c r="B131" s="465"/>
      <c r="C131" s="127"/>
      <c r="D131" s="58"/>
      <c r="E131" s="58"/>
      <c r="F131" s="58"/>
      <c r="G131" s="58"/>
      <c r="H131" s="58"/>
      <c r="I131" s="17" t="s">
        <v>60</v>
      </c>
      <c r="J131" s="144">
        <v>793673.39</v>
      </c>
      <c r="K131" s="152"/>
      <c r="L131" s="152"/>
      <c r="M131" s="191"/>
      <c r="N131" s="17" t="s">
        <v>174</v>
      </c>
      <c r="O131" s="28">
        <v>42100</v>
      </c>
      <c r="P131" s="28">
        <v>42130</v>
      </c>
      <c r="Q131" s="62"/>
      <c r="R131" s="20"/>
      <c r="S131" s="31"/>
      <c r="T131" s="63"/>
      <c r="U131" s="151"/>
    </row>
    <row r="132" spans="1:21" s="10" customFormat="1" ht="41.25" hidden="1" customHeight="1" x14ac:dyDescent="0.3">
      <c r="A132" s="463">
        <v>20</v>
      </c>
      <c r="B132" s="465" t="s">
        <v>175</v>
      </c>
      <c r="C132" s="480">
        <v>1982</v>
      </c>
      <c r="D132" s="465" t="s">
        <v>155</v>
      </c>
      <c r="E132" s="465">
        <v>5</v>
      </c>
      <c r="F132" s="465">
        <v>6</v>
      </c>
      <c r="G132" s="465">
        <v>6086.6</v>
      </c>
      <c r="H132" s="465">
        <v>184</v>
      </c>
      <c r="I132" s="54" t="s">
        <v>35</v>
      </c>
      <c r="J132" s="139">
        <f>1000000-2444.68</f>
        <v>997555.32</v>
      </c>
      <c r="K132" s="476">
        <f>J132+J133+J134</f>
        <v>1299999.9999999998</v>
      </c>
      <c r="L132" s="476">
        <f>1297555.32+2444.68</f>
        <v>1300000</v>
      </c>
      <c r="M132" s="477">
        <f>K132-L132</f>
        <v>0</v>
      </c>
      <c r="N132" s="46" t="s">
        <v>176</v>
      </c>
      <c r="O132" s="49">
        <v>41941</v>
      </c>
      <c r="P132" s="50">
        <v>42050</v>
      </c>
      <c r="Q132" s="62" t="s">
        <v>156</v>
      </c>
      <c r="R132" s="51">
        <v>1</v>
      </c>
      <c r="S132" s="59"/>
      <c r="T132" s="468">
        <f>AVERAGE(R132:R133)</f>
        <v>1</v>
      </c>
      <c r="U132" s="73"/>
    </row>
    <row r="133" spans="1:21" s="9" customFormat="1" ht="21.75" hidden="1" customHeight="1" x14ac:dyDescent="0.3">
      <c r="A133" s="463"/>
      <c r="B133" s="465"/>
      <c r="C133" s="480"/>
      <c r="D133" s="465"/>
      <c r="E133" s="465"/>
      <c r="F133" s="465"/>
      <c r="G133" s="465"/>
      <c r="H133" s="465"/>
      <c r="I133" s="215" t="s">
        <v>43</v>
      </c>
      <c r="J133" s="220">
        <v>300000</v>
      </c>
      <c r="K133" s="478"/>
      <c r="L133" s="478"/>
      <c r="M133" s="479"/>
      <c r="N133" s="224"/>
      <c r="O133" s="225"/>
      <c r="P133" s="225"/>
      <c r="Q133" s="35" t="s">
        <v>156</v>
      </c>
      <c r="R133" s="223"/>
      <c r="S133" s="31"/>
      <c r="T133" s="467"/>
      <c r="U133" s="219" t="s">
        <v>132</v>
      </c>
    </row>
    <row r="134" spans="1:21" s="14" customFormat="1" ht="60.75" customHeight="1" x14ac:dyDescent="0.25">
      <c r="A134" s="464"/>
      <c r="B134" s="454"/>
      <c r="C134" s="127"/>
      <c r="D134" s="58"/>
      <c r="E134" s="58"/>
      <c r="F134" s="58"/>
      <c r="G134" s="58"/>
      <c r="H134" s="58"/>
      <c r="I134" s="53" t="s">
        <v>39</v>
      </c>
      <c r="J134" s="163">
        <v>2444.6799999999998</v>
      </c>
      <c r="K134" s="145"/>
      <c r="L134" s="145"/>
      <c r="M134" s="147"/>
      <c r="N134" s="253" t="s">
        <v>40</v>
      </c>
      <c r="O134" s="50">
        <v>42100</v>
      </c>
      <c r="P134" s="50">
        <v>42130</v>
      </c>
      <c r="Q134" s="58"/>
      <c r="R134" s="51"/>
      <c r="S134" s="31"/>
      <c r="T134" s="63"/>
      <c r="U134" s="45"/>
    </row>
    <row r="135" spans="1:21" s="10" customFormat="1" ht="36" hidden="1" customHeight="1" x14ac:dyDescent="0.3">
      <c r="A135" s="463">
        <v>21</v>
      </c>
      <c r="B135" s="465" t="s">
        <v>177</v>
      </c>
      <c r="C135" s="465">
        <v>1988</v>
      </c>
      <c r="D135" s="465" t="s">
        <v>155</v>
      </c>
      <c r="E135" s="465">
        <v>9</v>
      </c>
      <c r="F135" s="465">
        <v>7</v>
      </c>
      <c r="G135" s="465">
        <v>8309.4</v>
      </c>
      <c r="H135" s="465">
        <v>320</v>
      </c>
      <c r="I135" s="46" t="s">
        <v>57</v>
      </c>
      <c r="J135" s="139">
        <v>200000</v>
      </c>
      <c r="K135" s="476">
        <f>J135+J136+J137+J138</f>
        <v>2005883.05</v>
      </c>
      <c r="L135" s="476">
        <f>2002836.2+3046.85</f>
        <v>2005883.05</v>
      </c>
      <c r="M135" s="477">
        <f>K135-L135</f>
        <v>0</v>
      </c>
      <c r="N135" s="454" t="s">
        <v>178</v>
      </c>
      <c r="O135" s="475">
        <v>41934</v>
      </c>
      <c r="P135" s="50">
        <v>42050</v>
      </c>
      <c r="Q135" s="465" t="s">
        <v>156</v>
      </c>
      <c r="R135" s="51">
        <v>1</v>
      </c>
      <c r="S135" s="153"/>
      <c r="T135" s="468">
        <f>AVERAGE(R135:R137)</f>
        <v>1</v>
      </c>
      <c r="U135" s="73"/>
    </row>
    <row r="136" spans="1:21" s="10" customFormat="1" ht="36" hidden="1" customHeight="1" x14ac:dyDescent="0.3">
      <c r="A136" s="463"/>
      <c r="B136" s="465"/>
      <c r="C136" s="465"/>
      <c r="D136" s="465"/>
      <c r="E136" s="465"/>
      <c r="F136" s="465"/>
      <c r="G136" s="465"/>
      <c r="H136" s="465"/>
      <c r="I136" s="54" t="s">
        <v>33</v>
      </c>
      <c r="J136" s="139">
        <v>200000</v>
      </c>
      <c r="K136" s="476"/>
      <c r="L136" s="476"/>
      <c r="M136" s="477"/>
      <c r="N136" s="454"/>
      <c r="O136" s="475"/>
      <c r="P136" s="50">
        <v>42050</v>
      </c>
      <c r="Q136" s="465"/>
      <c r="R136" s="51">
        <v>1</v>
      </c>
      <c r="S136" s="153"/>
      <c r="T136" s="468"/>
      <c r="U136" s="73"/>
    </row>
    <row r="137" spans="1:21" s="10" customFormat="1" ht="23.25" hidden="1" customHeight="1" x14ac:dyDescent="0.3">
      <c r="A137" s="463"/>
      <c r="B137" s="465"/>
      <c r="C137" s="465"/>
      <c r="D137" s="465"/>
      <c r="E137" s="465"/>
      <c r="F137" s="465"/>
      <c r="G137" s="465"/>
      <c r="H137" s="465"/>
      <c r="I137" s="46" t="s">
        <v>43</v>
      </c>
      <c r="J137" s="139">
        <f>1605883.05-3046.85</f>
        <v>1602836.2</v>
      </c>
      <c r="K137" s="476"/>
      <c r="L137" s="476"/>
      <c r="M137" s="477"/>
      <c r="N137" s="454"/>
      <c r="O137" s="475"/>
      <c r="P137" s="50">
        <v>42050</v>
      </c>
      <c r="Q137" s="465"/>
      <c r="R137" s="51">
        <v>1</v>
      </c>
      <c r="S137" s="153"/>
      <c r="T137" s="468"/>
      <c r="U137" s="73"/>
    </row>
    <row r="138" spans="1:21" s="12" customFormat="1" ht="66" customHeight="1" x14ac:dyDescent="0.25">
      <c r="A138" s="464"/>
      <c r="B138" s="454"/>
      <c r="C138" s="58"/>
      <c r="D138" s="58"/>
      <c r="E138" s="58"/>
      <c r="F138" s="58"/>
      <c r="G138" s="58"/>
      <c r="H138" s="58"/>
      <c r="I138" s="53" t="s">
        <v>39</v>
      </c>
      <c r="J138" s="163">
        <v>3046.85</v>
      </c>
      <c r="K138" s="145"/>
      <c r="L138" s="145"/>
      <c r="M138" s="147"/>
      <c r="N138" s="253" t="s">
        <v>40</v>
      </c>
      <c r="O138" s="50">
        <v>42100</v>
      </c>
      <c r="P138" s="50">
        <v>42130</v>
      </c>
      <c r="Q138" s="58"/>
      <c r="R138" s="51"/>
      <c r="S138" s="153"/>
      <c r="T138" s="63"/>
      <c r="U138" s="73"/>
    </row>
    <row r="139" spans="1:21" s="9" customFormat="1" ht="33" hidden="1" customHeight="1" x14ac:dyDescent="0.3">
      <c r="A139" s="463">
        <v>33</v>
      </c>
      <c r="B139" s="465" t="s">
        <v>179</v>
      </c>
      <c r="C139" s="465">
        <v>1994</v>
      </c>
      <c r="D139" s="465" t="s">
        <v>155</v>
      </c>
      <c r="E139" s="465">
        <v>5</v>
      </c>
      <c r="F139" s="465">
        <v>6</v>
      </c>
      <c r="G139" s="465">
        <v>4288</v>
      </c>
      <c r="H139" s="465">
        <v>188</v>
      </c>
      <c r="I139" s="224" t="s">
        <v>29</v>
      </c>
      <c r="J139" s="220">
        <v>200000</v>
      </c>
      <c r="K139" s="472">
        <f>SUM(J139:J146)</f>
        <v>4100000</v>
      </c>
      <c r="L139" s="472">
        <f>3266332.48+833667.52</f>
        <v>4100000</v>
      </c>
      <c r="M139" s="472">
        <f>K139-L139</f>
        <v>0</v>
      </c>
      <c r="N139" s="224"/>
      <c r="O139" s="225"/>
      <c r="P139" s="226"/>
      <c r="Q139" s="465" t="s">
        <v>156</v>
      </c>
      <c r="R139" s="223"/>
      <c r="S139" s="31"/>
      <c r="T139" s="467">
        <f>AVERAGE(R139:R145)</f>
        <v>1</v>
      </c>
      <c r="U139" s="219" t="s">
        <v>132</v>
      </c>
    </row>
    <row r="140" spans="1:21" s="9" customFormat="1" ht="33" hidden="1" customHeight="1" x14ac:dyDescent="0.3">
      <c r="A140" s="463"/>
      <c r="B140" s="465"/>
      <c r="C140" s="465"/>
      <c r="D140" s="465"/>
      <c r="E140" s="465"/>
      <c r="F140" s="465"/>
      <c r="G140" s="465"/>
      <c r="H140" s="465"/>
      <c r="I140" s="215" t="s">
        <v>64</v>
      </c>
      <c r="J140" s="220">
        <v>300000</v>
      </c>
      <c r="K140" s="472"/>
      <c r="L140" s="472"/>
      <c r="M140" s="472"/>
      <c r="N140" s="224"/>
      <c r="O140" s="225"/>
      <c r="P140" s="225"/>
      <c r="Q140" s="465"/>
      <c r="R140" s="223"/>
      <c r="S140" s="31"/>
      <c r="T140" s="467"/>
      <c r="U140" s="219" t="s">
        <v>132</v>
      </c>
    </row>
    <row r="141" spans="1:21" s="9" customFormat="1" ht="33" hidden="1" customHeight="1" x14ac:dyDescent="0.3">
      <c r="A141" s="463"/>
      <c r="B141" s="465"/>
      <c r="C141" s="465"/>
      <c r="D141" s="465"/>
      <c r="E141" s="465"/>
      <c r="F141" s="465"/>
      <c r="G141" s="465"/>
      <c r="H141" s="465"/>
      <c r="I141" s="224" t="s">
        <v>57</v>
      </c>
      <c r="J141" s="220">
        <v>500000</v>
      </c>
      <c r="K141" s="472"/>
      <c r="L141" s="472"/>
      <c r="M141" s="472"/>
      <c r="N141" s="224"/>
      <c r="O141" s="225"/>
      <c r="P141" s="225"/>
      <c r="Q141" s="465"/>
      <c r="R141" s="223"/>
      <c r="S141" s="31"/>
      <c r="T141" s="467"/>
      <c r="U141" s="219" t="s">
        <v>132</v>
      </c>
    </row>
    <row r="142" spans="1:21" s="9" customFormat="1" ht="105.6" hidden="1" customHeight="1" x14ac:dyDescent="0.3">
      <c r="A142" s="463"/>
      <c r="B142" s="465"/>
      <c r="C142" s="465"/>
      <c r="D142" s="465"/>
      <c r="E142" s="465"/>
      <c r="F142" s="465"/>
      <c r="G142" s="465"/>
      <c r="H142" s="465"/>
      <c r="I142" s="24" t="s">
        <v>37</v>
      </c>
      <c r="J142" s="144">
        <v>600000</v>
      </c>
      <c r="K142" s="473"/>
      <c r="L142" s="473"/>
      <c r="M142" s="474"/>
      <c r="N142" s="470" t="s">
        <v>180</v>
      </c>
      <c r="O142" s="470">
        <v>41941</v>
      </c>
      <c r="P142" s="77">
        <v>42050</v>
      </c>
      <c r="Q142" s="465"/>
      <c r="R142" s="20">
        <v>1</v>
      </c>
      <c r="S142" s="31"/>
      <c r="T142" s="468"/>
      <c r="U142" s="151"/>
    </row>
    <row r="143" spans="1:21" s="9" customFormat="1" ht="35.25" hidden="1" customHeight="1" x14ac:dyDescent="0.3">
      <c r="A143" s="463"/>
      <c r="B143" s="465"/>
      <c r="C143" s="465"/>
      <c r="D143" s="465"/>
      <c r="E143" s="465"/>
      <c r="F143" s="465"/>
      <c r="G143" s="465"/>
      <c r="H143" s="465"/>
      <c r="I143" s="17" t="s">
        <v>33</v>
      </c>
      <c r="J143" s="144">
        <v>200000</v>
      </c>
      <c r="K143" s="473"/>
      <c r="L143" s="473"/>
      <c r="M143" s="474"/>
      <c r="N143" s="470"/>
      <c r="O143" s="470"/>
      <c r="P143" s="77">
        <v>42050</v>
      </c>
      <c r="Q143" s="465"/>
      <c r="R143" s="20">
        <v>1</v>
      </c>
      <c r="S143" s="31"/>
      <c r="T143" s="468"/>
      <c r="U143" s="154"/>
    </row>
    <row r="144" spans="1:21" s="9" customFormat="1" ht="19.5" hidden="1" customHeight="1" x14ac:dyDescent="0.3">
      <c r="A144" s="463"/>
      <c r="B144" s="465"/>
      <c r="C144" s="465"/>
      <c r="D144" s="465"/>
      <c r="E144" s="465"/>
      <c r="F144" s="465"/>
      <c r="G144" s="465"/>
      <c r="H144" s="465"/>
      <c r="I144" s="17" t="s">
        <v>35</v>
      </c>
      <c r="J144" s="144">
        <v>1100000</v>
      </c>
      <c r="K144" s="473"/>
      <c r="L144" s="473"/>
      <c r="M144" s="474"/>
      <c r="N144" s="470"/>
      <c r="O144" s="470"/>
      <c r="P144" s="77">
        <v>42050</v>
      </c>
      <c r="Q144" s="465"/>
      <c r="R144" s="20">
        <v>1</v>
      </c>
      <c r="S144" s="31"/>
      <c r="T144" s="468"/>
      <c r="U144" s="154"/>
    </row>
    <row r="145" spans="1:21" s="9" customFormat="1" ht="20.25" hidden="1" customHeight="1" x14ac:dyDescent="0.3">
      <c r="A145" s="463"/>
      <c r="B145" s="465"/>
      <c r="C145" s="465"/>
      <c r="D145" s="465"/>
      <c r="E145" s="465"/>
      <c r="F145" s="465"/>
      <c r="G145" s="465"/>
      <c r="H145" s="465"/>
      <c r="I145" s="224" t="s">
        <v>43</v>
      </c>
      <c r="J145" s="220">
        <f>1200000-833667.52</f>
        <v>366332.48</v>
      </c>
      <c r="K145" s="472"/>
      <c r="L145" s="472"/>
      <c r="M145" s="472"/>
      <c r="N145" s="224"/>
      <c r="O145" s="225"/>
      <c r="P145" s="225"/>
      <c r="Q145" s="465"/>
      <c r="R145" s="223"/>
      <c r="S145" s="31"/>
      <c r="T145" s="467"/>
      <c r="U145" s="219" t="s">
        <v>132</v>
      </c>
    </row>
    <row r="146" spans="1:21" s="9" customFormat="1" ht="44.85" hidden="1" customHeight="1" x14ac:dyDescent="0.3">
      <c r="A146" s="463"/>
      <c r="B146" s="465"/>
      <c r="C146" s="58"/>
      <c r="D146" s="58"/>
      <c r="E146" s="58"/>
      <c r="F146" s="58"/>
      <c r="G146" s="58"/>
      <c r="H146" s="58"/>
      <c r="I146" s="17" t="s">
        <v>60</v>
      </c>
      <c r="J146" s="144">
        <v>833667.52</v>
      </c>
      <c r="K146" s="152"/>
      <c r="L146" s="152"/>
      <c r="M146" s="191"/>
      <c r="N146" s="17" t="s">
        <v>181</v>
      </c>
      <c r="O146" s="148">
        <v>42100</v>
      </c>
      <c r="P146" s="148">
        <v>42130</v>
      </c>
      <c r="Q146" s="58"/>
      <c r="R146" s="20"/>
      <c r="S146" s="31"/>
      <c r="T146" s="63"/>
      <c r="U146" s="136"/>
    </row>
    <row r="147" spans="1:21" s="9" customFormat="1" ht="30" hidden="1" customHeight="1" x14ac:dyDescent="0.3">
      <c r="A147" s="463">
        <v>34</v>
      </c>
      <c r="B147" s="465" t="s">
        <v>182</v>
      </c>
      <c r="C147" s="465">
        <v>1968</v>
      </c>
      <c r="D147" s="465" t="s">
        <v>155</v>
      </c>
      <c r="E147" s="465">
        <v>5</v>
      </c>
      <c r="F147" s="465">
        <v>4</v>
      </c>
      <c r="G147" s="465">
        <v>3065</v>
      </c>
      <c r="H147" s="465">
        <v>144</v>
      </c>
      <c r="I147" s="224" t="s">
        <v>29</v>
      </c>
      <c r="J147" s="220">
        <v>100000</v>
      </c>
      <c r="K147" s="472">
        <f>SUM(J147:J154)</f>
        <v>3450000</v>
      </c>
      <c r="L147" s="472">
        <f>3218096.73+231903.27</f>
        <v>3450000</v>
      </c>
      <c r="M147" s="472">
        <f>K147-L147</f>
        <v>0</v>
      </c>
      <c r="N147" s="224"/>
      <c r="O147" s="225"/>
      <c r="P147" s="226"/>
      <c r="Q147" s="465" t="s">
        <v>156</v>
      </c>
      <c r="R147" s="223"/>
      <c r="S147" s="31"/>
      <c r="T147" s="467">
        <f>AVERAGE(R147:R153)</f>
        <v>1</v>
      </c>
      <c r="U147" s="219" t="s">
        <v>132</v>
      </c>
    </row>
    <row r="148" spans="1:21" s="9" customFormat="1" ht="27.75" hidden="1" customHeight="1" x14ac:dyDescent="0.3">
      <c r="A148" s="463"/>
      <c r="B148" s="465"/>
      <c r="C148" s="465"/>
      <c r="D148" s="465"/>
      <c r="E148" s="465"/>
      <c r="F148" s="465"/>
      <c r="G148" s="465"/>
      <c r="H148" s="465"/>
      <c r="I148" s="215" t="s">
        <v>64</v>
      </c>
      <c r="J148" s="220">
        <v>300000</v>
      </c>
      <c r="K148" s="472"/>
      <c r="L148" s="472"/>
      <c r="M148" s="472"/>
      <c r="N148" s="224"/>
      <c r="O148" s="225"/>
      <c r="P148" s="225"/>
      <c r="Q148" s="465"/>
      <c r="R148" s="223"/>
      <c r="S148" s="31"/>
      <c r="T148" s="467"/>
      <c r="U148" s="219" t="s">
        <v>132</v>
      </c>
    </row>
    <row r="149" spans="1:21" s="9" customFormat="1" ht="33" hidden="1" customHeight="1" x14ac:dyDescent="0.3">
      <c r="A149" s="463"/>
      <c r="B149" s="465"/>
      <c r="C149" s="465"/>
      <c r="D149" s="465"/>
      <c r="E149" s="465"/>
      <c r="F149" s="465"/>
      <c r="G149" s="465"/>
      <c r="H149" s="465"/>
      <c r="I149" s="17" t="s">
        <v>57</v>
      </c>
      <c r="J149" s="144">
        <v>500000</v>
      </c>
      <c r="K149" s="473"/>
      <c r="L149" s="473"/>
      <c r="M149" s="474"/>
      <c r="N149" s="17" t="s">
        <v>183</v>
      </c>
      <c r="O149" s="28">
        <v>41941</v>
      </c>
      <c r="P149" s="28">
        <v>42063</v>
      </c>
      <c r="Q149" s="465"/>
      <c r="R149" s="20">
        <v>1</v>
      </c>
      <c r="S149" s="31"/>
      <c r="T149" s="468"/>
      <c r="U149" s="136"/>
    </row>
    <row r="150" spans="1:21" s="9" customFormat="1" ht="33" hidden="1" customHeight="1" x14ac:dyDescent="0.3">
      <c r="A150" s="463"/>
      <c r="B150" s="465"/>
      <c r="C150" s="465"/>
      <c r="D150" s="465"/>
      <c r="E150" s="465"/>
      <c r="F150" s="465"/>
      <c r="G150" s="465"/>
      <c r="H150" s="465"/>
      <c r="I150" s="215" t="s">
        <v>37</v>
      </c>
      <c r="J150" s="220">
        <v>500000</v>
      </c>
      <c r="K150" s="472"/>
      <c r="L150" s="472"/>
      <c r="M150" s="472"/>
      <c r="N150" s="224"/>
      <c r="O150" s="225"/>
      <c r="P150" s="230"/>
      <c r="Q150" s="465"/>
      <c r="R150" s="223"/>
      <c r="S150" s="31"/>
      <c r="T150" s="467"/>
      <c r="U150" s="219" t="s">
        <v>132</v>
      </c>
    </row>
    <row r="151" spans="1:21" s="9" customFormat="1" ht="33" hidden="1" customHeight="1" x14ac:dyDescent="0.3">
      <c r="A151" s="463"/>
      <c r="B151" s="465"/>
      <c r="C151" s="465"/>
      <c r="D151" s="465"/>
      <c r="E151" s="465"/>
      <c r="F151" s="465"/>
      <c r="G151" s="465"/>
      <c r="H151" s="465"/>
      <c r="I151" s="17" t="s">
        <v>33</v>
      </c>
      <c r="J151" s="144">
        <v>150000</v>
      </c>
      <c r="K151" s="473"/>
      <c r="L151" s="473"/>
      <c r="M151" s="474"/>
      <c r="N151" s="469" t="s">
        <v>184</v>
      </c>
      <c r="O151" s="470">
        <v>41941</v>
      </c>
      <c r="P151" s="28">
        <v>42063</v>
      </c>
      <c r="Q151" s="465"/>
      <c r="R151" s="20">
        <v>1</v>
      </c>
      <c r="S151" s="31"/>
      <c r="T151" s="468"/>
      <c r="U151" s="471"/>
    </row>
    <row r="152" spans="1:21" s="9" customFormat="1" ht="23.25" hidden="1" customHeight="1" x14ac:dyDescent="0.3">
      <c r="A152" s="463"/>
      <c r="B152" s="465"/>
      <c r="C152" s="465"/>
      <c r="D152" s="465"/>
      <c r="E152" s="465"/>
      <c r="F152" s="465"/>
      <c r="G152" s="465"/>
      <c r="H152" s="465"/>
      <c r="I152" s="17" t="s">
        <v>35</v>
      </c>
      <c r="J152" s="144">
        <v>700000</v>
      </c>
      <c r="K152" s="473"/>
      <c r="L152" s="473"/>
      <c r="M152" s="474"/>
      <c r="N152" s="469"/>
      <c r="O152" s="470"/>
      <c r="P152" s="77">
        <v>42050</v>
      </c>
      <c r="Q152" s="465"/>
      <c r="R152" s="20">
        <v>1</v>
      </c>
      <c r="S152" s="31"/>
      <c r="T152" s="468"/>
      <c r="U152" s="471"/>
    </row>
    <row r="153" spans="1:21" s="9" customFormat="1" ht="67.150000000000006" hidden="1" customHeight="1" x14ac:dyDescent="0.3">
      <c r="A153" s="463"/>
      <c r="B153" s="465"/>
      <c r="C153" s="465"/>
      <c r="D153" s="465"/>
      <c r="E153" s="465"/>
      <c r="F153" s="465"/>
      <c r="G153" s="465"/>
      <c r="H153" s="465"/>
      <c r="I153" s="17" t="s">
        <v>43</v>
      </c>
      <c r="J153" s="144">
        <f>1200000-231903.27</f>
        <v>968096.73</v>
      </c>
      <c r="K153" s="473"/>
      <c r="L153" s="473"/>
      <c r="M153" s="474"/>
      <c r="N153" s="469"/>
      <c r="O153" s="470"/>
      <c r="P153" s="28">
        <v>42077</v>
      </c>
      <c r="Q153" s="465"/>
      <c r="R153" s="20">
        <v>1</v>
      </c>
      <c r="S153" s="31"/>
      <c r="T153" s="468"/>
      <c r="U153" s="471"/>
    </row>
    <row r="154" spans="1:21" s="9" customFormat="1" ht="67.150000000000006" hidden="1" customHeight="1" x14ac:dyDescent="0.3">
      <c r="A154" s="463"/>
      <c r="B154" s="465"/>
      <c r="C154" s="58"/>
      <c r="D154" s="58"/>
      <c r="E154" s="58"/>
      <c r="F154" s="58"/>
      <c r="G154" s="58"/>
      <c r="H154" s="58"/>
      <c r="I154" s="17" t="s">
        <v>185</v>
      </c>
      <c r="J154" s="144">
        <v>231903.27</v>
      </c>
      <c r="K154" s="152"/>
      <c r="L154" s="152"/>
      <c r="M154" s="191"/>
      <c r="N154" s="17" t="s">
        <v>186</v>
      </c>
      <c r="O154" s="28">
        <v>42100</v>
      </c>
      <c r="P154" s="28">
        <v>42130</v>
      </c>
      <c r="Q154" s="58"/>
      <c r="R154" s="20"/>
      <c r="S154" s="31"/>
      <c r="T154" s="63"/>
      <c r="U154" s="151"/>
    </row>
    <row r="155" spans="1:21" s="10" customFormat="1" ht="52.5" hidden="1" customHeight="1" x14ac:dyDescent="0.3">
      <c r="A155" s="463">
        <v>22</v>
      </c>
      <c r="B155" s="465" t="s">
        <v>187</v>
      </c>
      <c r="C155" s="127">
        <v>1967</v>
      </c>
      <c r="D155" s="58" t="s">
        <v>155</v>
      </c>
      <c r="E155" s="58">
        <v>4</v>
      </c>
      <c r="F155" s="58">
        <v>3</v>
      </c>
      <c r="G155" s="58">
        <v>2247.9</v>
      </c>
      <c r="H155" s="58">
        <v>82</v>
      </c>
      <c r="I155" s="54" t="s">
        <v>35</v>
      </c>
      <c r="J155" s="139">
        <f>700000-2779.52</f>
        <v>697220.48</v>
      </c>
      <c r="K155" s="145">
        <f>J155+J156</f>
        <v>700000</v>
      </c>
      <c r="L155" s="145">
        <f>697220.48+2779.52</f>
        <v>700000</v>
      </c>
      <c r="M155" s="189">
        <f>K155-L155</f>
        <v>0</v>
      </c>
      <c r="N155" s="46" t="s">
        <v>188</v>
      </c>
      <c r="O155" s="103">
        <v>41934</v>
      </c>
      <c r="P155" s="50">
        <v>42050</v>
      </c>
      <c r="Q155" s="62" t="s">
        <v>156</v>
      </c>
      <c r="R155" s="51">
        <v>1</v>
      </c>
      <c r="S155" s="59"/>
      <c r="T155" s="51">
        <f>R155</f>
        <v>1</v>
      </c>
      <c r="U155" s="73"/>
    </row>
    <row r="156" spans="1:21" s="12" customFormat="1" ht="61.9" customHeight="1" x14ac:dyDescent="0.25">
      <c r="A156" s="464"/>
      <c r="B156" s="454"/>
      <c r="C156" s="127"/>
      <c r="D156" s="58"/>
      <c r="E156" s="58"/>
      <c r="F156" s="58"/>
      <c r="G156" s="58"/>
      <c r="H156" s="58"/>
      <c r="I156" s="53" t="s">
        <v>39</v>
      </c>
      <c r="J156" s="163">
        <v>2779.52</v>
      </c>
      <c r="K156" s="145"/>
      <c r="L156" s="145"/>
      <c r="M156" s="147"/>
      <c r="N156" s="253" t="s">
        <v>40</v>
      </c>
      <c r="O156" s="50">
        <v>42100</v>
      </c>
      <c r="P156" s="50">
        <v>42130</v>
      </c>
      <c r="Q156" s="58"/>
      <c r="R156" s="51"/>
      <c r="S156" s="59"/>
      <c r="T156" s="51"/>
      <c r="U156" s="73"/>
    </row>
    <row r="157" spans="1:21" s="10" customFormat="1" ht="52.5" hidden="1" customHeight="1" x14ac:dyDescent="0.3">
      <c r="A157" s="463">
        <v>23</v>
      </c>
      <c r="B157" s="465" t="s">
        <v>189</v>
      </c>
      <c r="C157" s="127">
        <v>1965</v>
      </c>
      <c r="D157" s="58" t="s">
        <v>190</v>
      </c>
      <c r="E157" s="58">
        <v>4</v>
      </c>
      <c r="F157" s="58">
        <v>3</v>
      </c>
      <c r="G157" s="58">
        <v>2210.8000000000002</v>
      </c>
      <c r="H157" s="58">
        <v>157</v>
      </c>
      <c r="I157" s="54" t="s">
        <v>35</v>
      </c>
      <c r="J157" s="139">
        <f>700000-3758.57</f>
        <v>696241.43</v>
      </c>
      <c r="K157" s="145">
        <f>J157+J158</f>
        <v>700000</v>
      </c>
      <c r="L157" s="145">
        <f>696241.43+3758.57</f>
        <v>700000</v>
      </c>
      <c r="M157" s="189">
        <f>K157-L157</f>
        <v>0</v>
      </c>
      <c r="N157" s="46" t="s">
        <v>191</v>
      </c>
      <c r="O157" s="103">
        <v>41934</v>
      </c>
      <c r="P157" s="50">
        <v>42050</v>
      </c>
      <c r="Q157" s="62" t="s">
        <v>192</v>
      </c>
      <c r="R157" s="51">
        <v>1</v>
      </c>
      <c r="S157" s="59"/>
      <c r="T157" s="51">
        <f>R157</f>
        <v>1</v>
      </c>
      <c r="U157" s="73"/>
    </row>
    <row r="158" spans="1:21" s="12" customFormat="1" ht="65.099999999999994" customHeight="1" x14ac:dyDescent="0.25">
      <c r="A158" s="464"/>
      <c r="B158" s="454"/>
      <c r="C158" s="127"/>
      <c r="D158" s="58"/>
      <c r="E158" s="58"/>
      <c r="F158" s="58"/>
      <c r="G158" s="58"/>
      <c r="H158" s="58"/>
      <c r="I158" s="53" t="s">
        <v>39</v>
      </c>
      <c r="J158" s="163">
        <v>3758.57</v>
      </c>
      <c r="K158" s="145"/>
      <c r="L158" s="145"/>
      <c r="M158" s="147"/>
      <c r="N158" s="253" t="s">
        <v>40</v>
      </c>
      <c r="O158" s="50">
        <v>42100</v>
      </c>
      <c r="P158" s="50">
        <v>42130</v>
      </c>
      <c r="Q158" s="62"/>
      <c r="R158" s="51"/>
      <c r="S158" s="59"/>
      <c r="T158" s="51"/>
      <c r="U158" s="73"/>
    </row>
    <row r="159" spans="1:21" s="10" customFormat="1" ht="52.5" hidden="1" customHeight="1" x14ac:dyDescent="0.3">
      <c r="A159" s="463">
        <v>24</v>
      </c>
      <c r="B159" s="465" t="s">
        <v>193</v>
      </c>
      <c r="C159" s="127">
        <v>1965</v>
      </c>
      <c r="D159" s="58" t="s">
        <v>190</v>
      </c>
      <c r="E159" s="58">
        <v>4</v>
      </c>
      <c r="F159" s="58">
        <v>3</v>
      </c>
      <c r="G159" s="58">
        <v>2381.6</v>
      </c>
      <c r="H159" s="58">
        <v>214</v>
      </c>
      <c r="I159" s="54" t="s">
        <v>35</v>
      </c>
      <c r="J159" s="139">
        <f>700000-3758.57</f>
        <v>696241.43</v>
      </c>
      <c r="K159" s="145">
        <f>J159+J160</f>
        <v>700000</v>
      </c>
      <c r="L159" s="145">
        <f>696241.43+3758.57</f>
        <v>700000</v>
      </c>
      <c r="M159" s="189">
        <f>K159-L159</f>
        <v>0</v>
      </c>
      <c r="N159" s="46" t="s">
        <v>194</v>
      </c>
      <c r="O159" s="103">
        <v>41934</v>
      </c>
      <c r="P159" s="50">
        <v>42050</v>
      </c>
      <c r="Q159" s="62" t="s">
        <v>192</v>
      </c>
      <c r="R159" s="51">
        <v>1</v>
      </c>
      <c r="S159" s="59"/>
      <c r="T159" s="51">
        <f>R159</f>
        <v>1</v>
      </c>
      <c r="U159" s="73"/>
    </row>
    <row r="160" spans="1:21" s="12" customFormat="1" ht="66" customHeight="1" x14ac:dyDescent="0.25">
      <c r="A160" s="464"/>
      <c r="B160" s="454"/>
      <c r="C160" s="127"/>
      <c r="D160" s="58"/>
      <c r="E160" s="58"/>
      <c r="F160" s="58"/>
      <c r="G160" s="58"/>
      <c r="H160" s="58"/>
      <c r="I160" s="53" t="s">
        <v>39</v>
      </c>
      <c r="J160" s="163">
        <v>3758.57</v>
      </c>
      <c r="K160" s="145"/>
      <c r="L160" s="145"/>
      <c r="M160" s="147"/>
      <c r="N160" s="253" t="s">
        <v>40</v>
      </c>
      <c r="O160" s="50">
        <v>42100</v>
      </c>
      <c r="P160" s="50">
        <v>42130</v>
      </c>
      <c r="Q160" s="62"/>
      <c r="R160" s="51"/>
      <c r="S160" s="59"/>
      <c r="T160" s="51"/>
      <c r="U160" s="73"/>
    </row>
    <row r="161" spans="1:22" s="202" customFormat="1" ht="70.5" hidden="1" customHeight="1" x14ac:dyDescent="0.25">
      <c r="A161" s="433" t="s">
        <v>195</v>
      </c>
      <c r="B161" s="433"/>
      <c r="C161" s="113" t="s">
        <v>126</v>
      </c>
      <c r="D161" s="113" t="s">
        <v>126</v>
      </c>
      <c r="E161" s="113" t="s">
        <v>126</v>
      </c>
      <c r="F161" s="113" t="s">
        <v>126</v>
      </c>
      <c r="G161" s="155">
        <f>SUM(G125:G135)</f>
        <v>21389.65</v>
      </c>
      <c r="H161" s="156">
        <f>SUM(H125:H135)</f>
        <v>762</v>
      </c>
      <c r="I161" s="193" t="s">
        <v>126</v>
      </c>
      <c r="J161" s="200">
        <f>SUM(J95:J160)</f>
        <v>27255883.050000001</v>
      </c>
      <c r="K161" s="200">
        <f>SUM(K95:K159)</f>
        <v>27255883.050000001</v>
      </c>
      <c r="L161" s="200">
        <f>SUM(L95:L159)</f>
        <v>27255883.050000001</v>
      </c>
      <c r="M161" s="201">
        <f>SUM(M95:M159)</f>
        <v>0</v>
      </c>
      <c r="N161" s="196" t="s">
        <v>126</v>
      </c>
      <c r="O161" s="196" t="s">
        <v>126</v>
      </c>
      <c r="P161" s="196" t="s">
        <v>126</v>
      </c>
      <c r="Q161" s="113" t="s">
        <v>126</v>
      </c>
      <c r="R161" s="196"/>
      <c r="S161" s="113" t="s">
        <v>126</v>
      </c>
      <c r="T161" s="197">
        <f>AVERAGE(T95:T159)</f>
        <v>1</v>
      </c>
      <c r="U161" s="198" t="s">
        <v>126</v>
      </c>
    </row>
    <row r="162" spans="1:22" s="6" customFormat="1" ht="42.75" hidden="1" customHeight="1" x14ac:dyDescent="0.3">
      <c r="A162" s="466" t="s">
        <v>196</v>
      </c>
      <c r="B162" s="466"/>
      <c r="C162" s="466"/>
      <c r="D162" s="466"/>
      <c r="E162" s="466"/>
      <c r="F162" s="466"/>
      <c r="G162" s="466"/>
      <c r="H162" s="466"/>
      <c r="I162" s="466"/>
      <c r="J162" s="466"/>
      <c r="K162" s="466"/>
      <c r="L162" s="466"/>
      <c r="M162" s="466"/>
      <c r="N162" s="466"/>
      <c r="O162" s="466"/>
      <c r="P162" s="466"/>
      <c r="Q162" s="466"/>
      <c r="R162" s="116"/>
      <c r="S162" s="117"/>
      <c r="T162" s="117"/>
      <c r="U162" s="118"/>
    </row>
    <row r="163" spans="1:22" s="12" customFormat="1" ht="31.5" hidden="1" customHeight="1" x14ac:dyDescent="0.25">
      <c r="A163" s="451">
        <v>25</v>
      </c>
      <c r="B163" s="452" t="s">
        <v>197</v>
      </c>
      <c r="C163" s="453">
        <v>1974</v>
      </c>
      <c r="D163" s="454" t="s">
        <v>198</v>
      </c>
      <c r="E163" s="455">
        <v>2</v>
      </c>
      <c r="F163" s="462">
        <v>3</v>
      </c>
      <c r="G163" s="456">
        <v>1753.3</v>
      </c>
      <c r="H163" s="457">
        <v>41</v>
      </c>
      <c r="I163" s="54" t="s">
        <v>29</v>
      </c>
      <c r="J163" s="157">
        <v>153572</v>
      </c>
      <c r="K163" s="445">
        <f>J163+J164+J165+J166+J167+J168+J169</f>
        <v>2457156</v>
      </c>
      <c r="L163" s="445">
        <f>2453513.94+3642.06</f>
        <v>2457156</v>
      </c>
      <c r="M163" s="446">
        <f>K163-L163</f>
        <v>0</v>
      </c>
      <c r="N163" s="461" t="s">
        <v>199</v>
      </c>
      <c r="O163" s="460">
        <v>41968</v>
      </c>
      <c r="P163" s="49">
        <v>42124</v>
      </c>
      <c r="Q163" s="449" t="s">
        <v>200</v>
      </c>
      <c r="R163" s="51">
        <v>0.95</v>
      </c>
      <c r="S163" s="158"/>
      <c r="T163" s="430">
        <f>AVERAGE(R163:R168)</f>
        <v>0.95</v>
      </c>
      <c r="U163" s="102" t="s">
        <v>38</v>
      </c>
      <c r="V163" s="11"/>
    </row>
    <row r="164" spans="1:22" s="12" customFormat="1" ht="31.5" hidden="1" customHeight="1" x14ac:dyDescent="0.25">
      <c r="A164" s="451"/>
      <c r="B164" s="452"/>
      <c r="C164" s="453"/>
      <c r="D164" s="454"/>
      <c r="E164" s="455"/>
      <c r="F164" s="462"/>
      <c r="G164" s="456"/>
      <c r="H164" s="457"/>
      <c r="I164" s="53" t="s">
        <v>64</v>
      </c>
      <c r="J164" s="157">
        <v>129001</v>
      </c>
      <c r="K164" s="445"/>
      <c r="L164" s="445"/>
      <c r="M164" s="446"/>
      <c r="N164" s="461"/>
      <c r="O164" s="460"/>
      <c r="P164" s="49">
        <v>42124</v>
      </c>
      <c r="Q164" s="449"/>
      <c r="R164" s="51">
        <v>0.95</v>
      </c>
      <c r="S164" s="158"/>
      <c r="T164" s="431"/>
      <c r="U164" s="102" t="s">
        <v>38</v>
      </c>
      <c r="V164" s="11"/>
    </row>
    <row r="165" spans="1:22" s="12" customFormat="1" ht="31.5" hidden="1" customHeight="1" x14ac:dyDescent="0.25">
      <c r="A165" s="451"/>
      <c r="B165" s="452"/>
      <c r="C165" s="453"/>
      <c r="D165" s="454"/>
      <c r="E165" s="455"/>
      <c r="F165" s="462"/>
      <c r="G165" s="456"/>
      <c r="H165" s="457"/>
      <c r="I165" s="46" t="s">
        <v>57</v>
      </c>
      <c r="J165" s="157">
        <f>307144-3642.06</f>
        <v>303501.94</v>
      </c>
      <c r="K165" s="445"/>
      <c r="L165" s="445"/>
      <c r="M165" s="446"/>
      <c r="N165" s="461"/>
      <c r="O165" s="460"/>
      <c r="P165" s="49">
        <v>42124</v>
      </c>
      <c r="Q165" s="449"/>
      <c r="R165" s="51">
        <v>0.95</v>
      </c>
      <c r="S165" s="158"/>
      <c r="T165" s="431"/>
      <c r="U165" s="102" t="s">
        <v>38</v>
      </c>
      <c r="V165" s="11"/>
    </row>
    <row r="166" spans="1:22" s="14" customFormat="1" ht="43.7" hidden="1" customHeight="1" x14ac:dyDescent="0.25">
      <c r="A166" s="451"/>
      <c r="B166" s="452"/>
      <c r="C166" s="453"/>
      <c r="D166" s="454"/>
      <c r="E166" s="455"/>
      <c r="F166" s="462"/>
      <c r="G166" s="456"/>
      <c r="H166" s="457"/>
      <c r="I166" s="215" t="s">
        <v>37</v>
      </c>
      <c r="J166" s="231">
        <v>208859</v>
      </c>
      <c r="K166" s="458"/>
      <c r="L166" s="458"/>
      <c r="M166" s="459"/>
      <c r="N166" s="232"/>
      <c r="O166" s="225"/>
      <c r="P166" s="225"/>
      <c r="Q166" s="449"/>
      <c r="R166" s="233"/>
      <c r="S166" s="159"/>
      <c r="T166" s="450"/>
      <c r="U166" s="219" t="s">
        <v>132</v>
      </c>
      <c r="V166" s="13"/>
    </row>
    <row r="167" spans="1:22" s="12" customFormat="1" ht="34.15" hidden="1" customHeight="1" x14ac:dyDescent="0.25">
      <c r="A167" s="451"/>
      <c r="B167" s="452"/>
      <c r="C167" s="453"/>
      <c r="D167" s="454"/>
      <c r="E167" s="455"/>
      <c r="F167" s="462"/>
      <c r="G167" s="456"/>
      <c r="H167" s="457"/>
      <c r="I167" s="54" t="s">
        <v>35</v>
      </c>
      <c r="J167" s="157">
        <v>1326864</v>
      </c>
      <c r="K167" s="445"/>
      <c r="L167" s="445"/>
      <c r="M167" s="446"/>
      <c r="N167" s="461" t="s">
        <v>199</v>
      </c>
      <c r="O167" s="460">
        <v>41968</v>
      </c>
      <c r="P167" s="49">
        <v>42124</v>
      </c>
      <c r="Q167" s="449"/>
      <c r="R167" s="51">
        <v>0.95</v>
      </c>
      <c r="S167" s="158"/>
      <c r="T167" s="431"/>
      <c r="U167" s="102" t="s">
        <v>38</v>
      </c>
      <c r="V167" s="11"/>
    </row>
    <row r="168" spans="1:22" s="12" customFormat="1" ht="39.4" hidden="1" customHeight="1" x14ac:dyDescent="0.25">
      <c r="A168" s="451"/>
      <c r="B168" s="452"/>
      <c r="C168" s="453"/>
      <c r="D168" s="454"/>
      <c r="E168" s="455"/>
      <c r="F168" s="462"/>
      <c r="G168" s="456"/>
      <c r="H168" s="457"/>
      <c r="I168" s="54" t="s">
        <v>43</v>
      </c>
      <c r="J168" s="157">
        <v>331716</v>
      </c>
      <c r="K168" s="445"/>
      <c r="L168" s="445"/>
      <c r="M168" s="446"/>
      <c r="N168" s="461"/>
      <c r="O168" s="460"/>
      <c r="P168" s="49">
        <v>42124</v>
      </c>
      <c r="Q168" s="449"/>
      <c r="R168" s="51">
        <v>0.95</v>
      </c>
      <c r="S168" s="158"/>
      <c r="T168" s="431"/>
      <c r="U168" s="102" t="s">
        <v>38</v>
      </c>
      <c r="V168" s="11"/>
    </row>
    <row r="169" spans="1:22" s="12" customFormat="1" ht="62.85" customHeight="1" x14ac:dyDescent="0.25">
      <c r="A169" s="451"/>
      <c r="B169" s="452"/>
      <c r="C169" s="160"/>
      <c r="D169" s="40"/>
      <c r="E169" s="43"/>
      <c r="F169" s="42"/>
      <c r="G169" s="161"/>
      <c r="H169" s="162"/>
      <c r="I169" s="53" t="s">
        <v>39</v>
      </c>
      <c r="J169" s="163">
        <v>3642.06</v>
      </c>
      <c r="K169" s="164"/>
      <c r="L169" s="164"/>
      <c r="M169" s="165"/>
      <c r="N169" s="253" t="s">
        <v>40</v>
      </c>
      <c r="O169" s="50">
        <v>42100</v>
      </c>
      <c r="P169" s="50">
        <v>42130</v>
      </c>
      <c r="Q169" s="62"/>
      <c r="R169" s="51"/>
      <c r="S169" s="158"/>
      <c r="T169" s="432"/>
      <c r="U169" s="73"/>
      <c r="V169" s="11"/>
    </row>
    <row r="170" spans="1:22" s="12" customFormat="1" ht="45" hidden="1" customHeight="1" x14ac:dyDescent="0.25">
      <c r="A170" s="451">
        <v>26</v>
      </c>
      <c r="B170" s="452" t="s">
        <v>201</v>
      </c>
      <c r="C170" s="453"/>
      <c r="D170" s="454"/>
      <c r="E170" s="455"/>
      <c r="F170" s="455"/>
      <c r="G170" s="456"/>
      <c r="H170" s="457"/>
      <c r="I170" s="54" t="s">
        <v>35</v>
      </c>
      <c r="J170" s="157">
        <f>1100000-40.14</f>
        <v>1099959.8600000001</v>
      </c>
      <c r="K170" s="445">
        <f>J171+J170+J172+J173</f>
        <v>1382754</v>
      </c>
      <c r="L170" s="445">
        <f>1382713.86+40.14</f>
        <v>1382754</v>
      </c>
      <c r="M170" s="446">
        <f>K170-L170</f>
        <v>0</v>
      </c>
      <c r="N170" s="48" t="s">
        <v>202</v>
      </c>
      <c r="O170" s="149">
        <v>41988</v>
      </c>
      <c r="P170" s="49">
        <v>42124</v>
      </c>
      <c r="Q170" s="449"/>
      <c r="R170" s="51">
        <v>0.95</v>
      </c>
      <c r="S170" s="158"/>
      <c r="T170" s="430">
        <f>AVERAGE(R170:R172)</f>
        <v>0.95</v>
      </c>
      <c r="U170" s="102" t="s">
        <v>38</v>
      </c>
      <c r="V170" s="11"/>
    </row>
    <row r="171" spans="1:22" s="14" customFormat="1" ht="18" hidden="1" customHeight="1" x14ac:dyDescent="0.25">
      <c r="A171" s="451"/>
      <c r="B171" s="452"/>
      <c r="C171" s="453"/>
      <c r="D171" s="454"/>
      <c r="E171" s="455"/>
      <c r="F171" s="455"/>
      <c r="G171" s="456"/>
      <c r="H171" s="457"/>
      <c r="I171" s="215" t="s">
        <v>43</v>
      </c>
      <c r="J171" s="231">
        <v>206954</v>
      </c>
      <c r="K171" s="458"/>
      <c r="L171" s="458"/>
      <c r="M171" s="459"/>
      <c r="N171" s="232" t="s">
        <v>32</v>
      </c>
      <c r="O171" s="225" t="s">
        <v>32</v>
      </c>
      <c r="P171" s="225" t="s">
        <v>32</v>
      </c>
      <c r="Q171" s="449"/>
      <c r="R171" s="233"/>
      <c r="S171" s="159"/>
      <c r="T171" s="450"/>
      <c r="U171" s="219" t="s">
        <v>132</v>
      </c>
      <c r="V171" s="13"/>
    </row>
    <row r="172" spans="1:22" s="14" customFormat="1" ht="18" hidden="1" customHeight="1" x14ac:dyDescent="0.25">
      <c r="A172" s="451"/>
      <c r="B172" s="452"/>
      <c r="C172" s="453"/>
      <c r="D172" s="454"/>
      <c r="E172" s="455"/>
      <c r="F172" s="455"/>
      <c r="G172" s="456"/>
      <c r="H172" s="457"/>
      <c r="I172" s="215" t="s">
        <v>203</v>
      </c>
      <c r="J172" s="231">
        <v>75800</v>
      </c>
      <c r="K172" s="458"/>
      <c r="L172" s="458"/>
      <c r="M172" s="459"/>
      <c r="N172" s="232"/>
      <c r="O172" s="225"/>
      <c r="P172" s="225"/>
      <c r="Q172" s="449"/>
      <c r="R172" s="233"/>
      <c r="S172" s="159"/>
      <c r="T172" s="450"/>
      <c r="U172" s="219" t="s">
        <v>132</v>
      </c>
      <c r="V172" s="13"/>
    </row>
    <row r="173" spans="1:22" s="14" customFormat="1" ht="67.150000000000006" customHeight="1" x14ac:dyDescent="0.25">
      <c r="A173" s="451"/>
      <c r="B173" s="452"/>
      <c r="C173" s="160"/>
      <c r="D173" s="40"/>
      <c r="E173" s="43"/>
      <c r="F173" s="43"/>
      <c r="G173" s="161"/>
      <c r="H173" s="162"/>
      <c r="I173" s="53" t="s">
        <v>39</v>
      </c>
      <c r="J173" s="163">
        <v>40.14</v>
      </c>
      <c r="K173" s="164"/>
      <c r="L173" s="164"/>
      <c r="M173" s="165"/>
      <c r="N173" s="253" t="s">
        <v>40</v>
      </c>
      <c r="O173" s="50">
        <v>42100</v>
      </c>
      <c r="P173" s="50">
        <v>42130</v>
      </c>
      <c r="Q173" s="62"/>
      <c r="R173" s="51"/>
      <c r="S173" s="159"/>
      <c r="T173" s="432"/>
      <c r="U173" s="136"/>
      <c r="V173" s="13"/>
    </row>
    <row r="174" spans="1:22" s="12" customFormat="1" ht="36.200000000000003" hidden="1" customHeight="1" x14ac:dyDescent="0.25">
      <c r="A174" s="451">
        <v>27</v>
      </c>
      <c r="B174" s="452" t="s">
        <v>204</v>
      </c>
      <c r="C174" s="453">
        <v>1937</v>
      </c>
      <c r="D174" s="454" t="s">
        <v>198</v>
      </c>
      <c r="E174" s="455">
        <v>3</v>
      </c>
      <c r="F174" s="455">
        <v>2</v>
      </c>
      <c r="G174" s="456">
        <v>995.6</v>
      </c>
      <c r="H174" s="457">
        <v>43</v>
      </c>
      <c r="I174" s="54" t="s">
        <v>29</v>
      </c>
      <c r="J174" s="157">
        <v>620278</v>
      </c>
      <c r="K174" s="445">
        <f>J174+J175+J176+J177+J178+J179+J180</f>
        <v>3033779.5</v>
      </c>
      <c r="L174" s="445">
        <f>3033277.15+502.35</f>
        <v>3033779.5</v>
      </c>
      <c r="M174" s="446">
        <f>K174-L174</f>
        <v>0</v>
      </c>
      <c r="N174" s="447" t="s">
        <v>205</v>
      </c>
      <c r="O174" s="448">
        <v>41988</v>
      </c>
      <c r="P174" s="49">
        <v>42124</v>
      </c>
      <c r="Q174" s="449" t="s">
        <v>200</v>
      </c>
      <c r="R174" s="166">
        <v>0.95</v>
      </c>
      <c r="S174" s="158"/>
      <c r="T174" s="430">
        <f>AVERAGE(R174:R179)</f>
        <v>0.95</v>
      </c>
      <c r="U174" s="102" t="s">
        <v>38</v>
      </c>
      <c r="V174" s="11"/>
    </row>
    <row r="175" spans="1:22" s="12" customFormat="1" ht="36.200000000000003" hidden="1" customHeight="1" x14ac:dyDescent="0.25">
      <c r="A175" s="451"/>
      <c r="B175" s="452"/>
      <c r="C175" s="453"/>
      <c r="D175" s="454"/>
      <c r="E175" s="455"/>
      <c r="F175" s="455"/>
      <c r="G175" s="456"/>
      <c r="H175" s="457"/>
      <c r="I175" s="53" t="s">
        <v>64</v>
      </c>
      <c r="J175" s="157">
        <v>521034</v>
      </c>
      <c r="K175" s="445"/>
      <c r="L175" s="445"/>
      <c r="M175" s="446"/>
      <c r="N175" s="447"/>
      <c r="O175" s="448"/>
      <c r="P175" s="49">
        <v>42124</v>
      </c>
      <c r="Q175" s="449"/>
      <c r="R175" s="166">
        <v>0.95</v>
      </c>
      <c r="S175" s="158"/>
      <c r="T175" s="431"/>
      <c r="U175" s="102" t="s">
        <v>38</v>
      </c>
      <c r="V175" s="11"/>
    </row>
    <row r="176" spans="1:22" s="12" customFormat="1" ht="67.150000000000006" hidden="1" customHeight="1" x14ac:dyDescent="0.25">
      <c r="A176" s="451"/>
      <c r="B176" s="452"/>
      <c r="C176" s="453"/>
      <c r="D176" s="454"/>
      <c r="E176" s="455"/>
      <c r="F176" s="455"/>
      <c r="G176" s="456"/>
      <c r="H176" s="457"/>
      <c r="I176" s="46" t="s">
        <v>57</v>
      </c>
      <c r="J176" s="157">
        <f>1240556-502.35</f>
        <v>1240053.6499999999</v>
      </c>
      <c r="K176" s="445"/>
      <c r="L176" s="445"/>
      <c r="M176" s="446"/>
      <c r="N176" s="447"/>
      <c r="O176" s="448"/>
      <c r="P176" s="49">
        <v>42124</v>
      </c>
      <c r="Q176" s="449"/>
      <c r="R176" s="166">
        <v>0.95</v>
      </c>
      <c r="S176" s="158"/>
      <c r="T176" s="431"/>
      <c r="U176" s="102" t="s">
        <v>38</v>
      </c>
      <c r="V176" s="11"/>
    </row>
    <row r="177" spans="1:22" s="12" customFormat="1" ht="59.65" hidden="1" customHeight="1" x14ac:dyDescent="0.25">
      <c r="A177" s="451"/>
      <c r="B177" s="452"/>
      <c r="C177" s="453"/>
      <c r="D177" s="454"/>
      <c r="E177" s="455"/>
      <c r="F177" s="455"/>
      <c r="G177" s="456"/>
      <c r="H177" s="457"/>
      <c r="I177" s="46" t="s">
        <v>37</v>
      </c>
      <c r="J177" s="157">
        <v>392667</v>
      </c>
      <c r="K177" s="445"/>
      <c r="L177" s="445"/>
      <c r="M177" s="446"/>
      <c r="N177" s="48" t="s">
        <v>205</v>
      </c>
      <c r="O177" s="103">
        <v>41988</v>
      </c>
      <c r="P177" s="49">
        <v>42124</v>
      </c>
      <c r="Q177" s="449"/>
      <c r="R177" s="166">
        <v>0.95</v>
      </c>
      <c r="S177" s="158"/>
      <c r="T177" s="431"/>
      <c r="U177" s="102" t="s">
        <v>38</v>
      </c>
      <c r="V177" s="11"/>
    </row>
    <row r="178" spans="1:22" s="12" customFormat="1" ht="57.6" hidden="1" customHeight="1" x14ac:dyDescent="0.25">
      <c r="A178" s="451"/>
      <c r="B178" s="452"/>
      <c r="C178" s="453"/>
      <c r="D178" s="454"/>
      <c r="E178" s="455"/>
      <c r="F178" s="455"/>
      <c r="G178" s="456"/>
      <c r="H178" s="457"/>
      <c r="I178" s="54" t="s">
        <v>206</v>
      </c>
      <c r="J178" s="157">
        <v>55700</v>
      </c>
      <c r="K178" s="445"/>
      <c r="L178" s="445"/>
      <c r="M178" s="446"/>
      <c r="N178" s="48" t="s">
        <v>205</v>
      </c>
      <c r="O178" s="103">
        <v>41988</v>
      </c>
      <c r="P178" s="49">
        <v>42124</v>
      </c>
      <c r="Q178" s="449"/>
      <c r="R178" s="166">
        <v>0.95</v>
      </c>
      <c r="S178" s="158"/>
      <c r="T178" s="431"/>
      <c r="U178" s="102" t="s">
        <v>38</v>
      </c>
      <c r="V178" s="11"/>
    </row>
    <row r="179" spans="1:22" s="12" customFormat="1" ht="24" hidden="1" customHeight="1" x14ac:dyDescent="0.25">
      <c r="A179" s="451"/>
      <c r="B179" s="452"/>
      <c r="C179" s="453"/>
      <c r="D179" s="454"/>
      <c r="E179" s="455"/>
      <c r="F179" s="455"/>
      <c r="G179" s="456"/>
      <c r="H179" s="457"/>
      <c r="I179" s="54" t="s">
        <v>203</v>
      </c>
      <c r="J179" s="163">
        <v>203544.5</v>
      </c>
      <c r="K179" s="445"/>
      <c r="L179" s="445"/>
      <c r="M179" s="446"/>
      <c r="N179" s="167"/>
      <c r="O179" s="103"/>
      <c r="P179" s="103"/>
      <c r="Q179" s="449"/>
      <c r="R179" s="166"/>
      <c r="S179" s="158"/>
      <c r="T179" s="431"/>
      <c r="U179" s="73"/>
      <c r="V179" s="11"/>
    </row>
    <row r="180" spans="1:22" s="12" customFormat="1" ht="60.75" customHeight="1" x14ac:dyDescent="0.25">
      <c r="A180" s="451"/>
      <c r="B180" s="452"/>
      <c r="C180" s="160"/>
      <c r="D180" s="40"/>
      <c r="E180" s="43"/>
      <c r="F180" s="43"/>
      <c r="G180" s="161"/>
      <c r="H180" s="162"/>
      <c r="I180" s="53" t="s">
        <v>39</v>
      </c>
      <c r="J180" s="163">
        <v>502.35</v>
      </c>
      <c r="K180" s="164"/>
      <c r="L180" s="164"/>
      <c r="M180" s="165"/>
      <c r="N180" s="253" t="s">
        <v>40</v>
      </c>
      <c r="O180" s="50">
        <v>42100</v>
      </c>
      <c r="P180" s="50">
        <v>42130</v>
      </c>
      <c r="Q180" s="62"/>
      <c r="R180" s="51"/>
      <c r="S180" s="158"/>
      <c r="T180" s="432"/>
      <c r="U180" s="73"/>
      <c r="V180" s="11"/>
    </row>
    <row r="181" spans="1:22" s="205" customFormat="1" ht="33.75" hidden="1" customHeight="1" x14ac:dyDescent="0.25">
      <c r="A181" s="433" t="s">
        <v>207</v>
      </c>
      <c r="B181" s="433"/>
      <c r="C181" s="113" t="s">
        <v>126</v>
      </c>
      <c r="D181" s="113" t="s">
        <v>126</v>
      </c>
      <c r="E181" s="113" t="s">
        <v>126</v>
      </c>
      <c r="F181" s="113" t="s">
        <v>126</v>
      </c>
      <c r="G181" s="168">
        <f>SUM(G163:G179)</f>
        <v>2748.9</v>
      </c>
      <c r="H181" s="169">
        <f>SUM(H163:H179)</f>
        <v>84</v>
      </c>
      <c r="I181" s="193" t="s">
        <v>126</v>
      </c>
      <c r="J181" s="203">
        <f>SUM(J163:J180)</f>
        <v>6873689.5</v>
      </c>
      <c r="K181" s="203">
        <f>SUM(K163:K179)</f>
        <v>6873689.5</v>
      </c>
      <c r="L181" s="203">
        <f>SUM(L163:L179)</f>
        <v>6873689.5</v>
      </c>
      <c r="M181" s="204">
        <f>SUM(M163:M179)</f>
        <v>0</v>
      </c>
      <c r="N181" s="196" t="s">
        <v>126</v>
      </c>
      <c r="O181" s="196" t="s">
        <v>126</v>
      </c>
      <c r="P181" s="196" t="s">
        <v>126</v>
      </c>
      <c r="Q181" s="113" t="s">
        <v>126</v>
      </c>
      <c r="R181" s="196"/>
      <c r="S181" s="113" t="s">
        <v>126</v>
      </c>
      <c r="T181" s="197">
        <f>AVERAGE(T163:T179)</f>
        <v>0.94999999999999984</v>
      </c>
      <c r="U181" s="198" t="s">
        <v>126</v>
      </c>
    </row>
    <row r="182" spans="1:22" s="15" customFormat="1" ht="71.45" hidden="1" customHeight="1" x14ac:dyDescent="0.3">
      <c r="A182" s="434" t="s">
        <v>208</v>
      </c>
      <c r="B182" s="434"/>
      <c r="C182" s="170" t="s">
        <v>126</v>
      </c>
      <c r="D182" s="170" t="s">
        <v>126</v>
      </c>
      <c r="E182" s="170" t="s">
        <v>126</v>
      </c>
      <c r="F182" s="170" t="s">
        <v>126</v>
      </c>
      <c r="G182" s="171">
        <v>185425.67</v>
      </c>
      <c r="H182" s="172">
        <v>153319</v>
      </c>
      <c r="I182" s="235" t="s">
        <v>126</v>
      </c>
      <c r="J182" s="236">
        <f>J181+J161+J93+J74</f>
        <v>111717169.17999998</v>
      </c>
      <c r="K182" s="173">
        <f>K181+K161+K93+K74</f>
        <v>111717169.18000001</v>
      </c>
      <c r="L182" s="173">
        <f>L181+L161+L93+L74</f>
        <v>111717169.18000001</v>
      </c>
      <c r="M182" s="192">
        <f>M181+M161+M93+M74</f>
        <v>0</v>
      </c>
      <c r="N182" s="238" t="s">
        <v>126</v>
      </c>
      <c r="O182" s="238" t="s">
        <v>126</v>
      </c>
      <c r="P182" s="238" t="s">
        <v>126</v>
      </c>
      <c r="Q182" s="170" t="s">
        <v>126</v>
      </c>
      <c r="R182" s="170"/>
      <c r="S182" s="170" t="s">
        <v>126</v>
      </c>
      <c r="T182" s="174">
        <v>0.87</v>
      </c>
      <c r="U182" s="175" t="s">
        <v>126</v>
      </c>
    </row>
    <row r="183" spans="1:22" ht="22.5" customHeight="1" x14ac:dyDescent="0.25">
      <c r="A183" s="435" t="s">
        <v>213</v>
      </c>
      <c r="B183" s="436"/>
      <c r="C183" s="437"/>
      <c r="D183" s="437"/>
      <c r="E183" s="437"/>
      <c r="F183" s="437"/>
      <c r="G183" s="437"/>
      <c r="H183" s="437"/>
      <c r="I183" s="438"/>
      <c r="J183" s="256">
        <v>351238.53</v>
      </c>
      <c r="K183" s="237"/>
      <c r="L183" s="237"/>
      <c r="M183" s="237"/>
      <c r="N183" s="249"/>
      <c r="O183" s="249"/>
      <c r="P183" s="249"/>
      <c r="Q183" s="16"/>
      <c r="R183" s="234"/>
      <c r="S183" s="16"/>
      <c r="T183" s="234"/>
      <c r="U183" s="234"/>
      <c r="V183" s="240"/>
    </row>
    <row r="184" spans="1:22" x14ac:dyDescent="0.25">
      <c r="D184" s="16"/>
      <c r="E184" s="16"/>
      <c r="F184" s="16"/>
      <c r="G184" s="16"/>
      <c r="H184" s="16"/>
      <c r="I184" s="240"/>
      <c r="J184" s="240"/>
      <c r="K184" s="240"/>
      <c r="L184" s="240"/>
      <c r="M184" s="240"/>
      <c r="N184" s="240"/>
      <c r="O184" s="240"/>
      <c r="P184" s="240"/>
      <c r="Q184" s="16"/>
      <c r="R184" s="234"/>
      <c r="S184" s="16"/>
      <c r="T184" s="234"/>
      <c r="U184" s="234"/>
      <c r="V184" s="240"/>
    </row>
    <row r="185" spans="1:22" x14ac:dyDescent="0.25">
      <c r="D185" s="16"/>
      <c r="E185" s="16"/>
      <c r="F185" s="16"/>
      <c r="G185" s="16"/>
      <c r="H185" s="16"/>
      <c r="I185" s="240"/>
      <c r="J185" s="240"/>
      <c r="K185" s="237"/>
      <c r="L185" s="237"/>
      <c r="M185" s="237"/>
      <c r="N185" s="240"/>
      <c r="O185" s="240"/>
      <c r="P185" s="240"/>
      <c r="Q185" s="16"/>
      <c r="R185" s="234"/>
      <c r="S185" s="16"/>
      <c r="T185" s="234"/>
      <c r="U185" s="234"/>
      <c r="V185" s="240"/>
    </row>
    <row r="186" spans="1:22" ht="23.45" customHeight="1" x14ac:dyDescent="0.25">
      <c r="D186" s="16"/>
      <c r="E186" s="16"/>
      <c r="F186" s="16"/>
      <c r="G186" s="16"/>
      <c r="H186" s="16"/>
      <c r="I186" s="240"/>
      <c r="J186" s="240"/>
      <c r="K186" s="237"/>
      <c r="L186" s="237"/>
      <c r="M186" s="237"/>
      <c r="N186" s="240"/>
      <c r="O186" s="240"/>
      <c r="P186" s="240"/>
      <c r="Q186" s="16"/>
      <c r="R186" s="234"/>
      <c r="S186" s="16"/>
      <c r="T186" s="234"/>
      <c r="U186" s="234"/>
      <c r="V186" s="240"/>
    </row>
    <row r="187" spans="1:22" x14ac:dyDescent="0.25">
      <c r="D187" s="16"/>
      <c r="E187" s="16"/>
      <c r="F187" s="16"/>
      <c r="G187" s="16"/>
      <c r="H187" s="16"/>
      <c r="I187" s="240"/>
      <c r="J187" s="240"/>
      <c r="K187" s="237"/>
      <c r="L187" s="237"/>
      <c r="M187" s="237"/>
      <c r="N187" s="240"/>
      <c r="O187" s="240"/>
      <c r="P187" s="240"/>
      <c r="Q187" s="16"/>
      <c r="R187" s="234"/>
      <c r="S187" s="16"/>
      <c r="T187" s="234"/>
      <c r="U187" s="234"/>
      <c r="V187" s="240"/>
    </row>
    <row r="188" spans="1:22" x14ac:dyDescent="0.25">
      <c r="D188" s="16"/>
      <c r="E188" s="16"/>
      <c r="F188" s="16"/>
      <c r="G188" s="16"/>
      <c r="H188" s="16"/>
      <c r="I188" s="240"/>
      <c r="J188" s="240"/>
      <c r="K188" s="237"/>
      <c r="L188" s="237"/>
      <c r="M188" s="237"/>
      <c r="N188" s="240"/>
      <c r="O188" s="240"/>
      <c r="P188" s="240"/>
      <c r="Q188" s="16"/>
      <c r="R188" s="234"/>
      <c r="S188" s="16"/>
      <c r="T188" s="234"/>
      <c r="U188" s="234"/>
      <c r="V188" s="240"/>
    </row>
    <row r="189" spans="1:22" x14ac:dyDescent="0.25">
      <c r="D189" s="16"/>
      <c r="E189" s="16"/>
      <c r="F189" s="16"/>
      <c r="G189" s="16"/>
      <c r="H189" s="16"/>
      <c r="I189" s="240"/>
      <c r="J189" s="240"/>
      <c r="K189" s="237"/>
      <c r="L189" s="237"/>
      <c r="M189" s="237"/>
      <c r="N189" s="240"/>
      <c r="O189" s="240"/>
      <c r="P189" s="240"/>
      <c r="Q189" s="16"/>
      <c r="R189" s="234"/>
      <c r="S189" s="16"/>
      <c r="T189" s="234"/>
      <c r="U189" s="234"/>
      <c r="V189" s="240"/>
    </row>
    <row r="190" spans="1:22" x14ac:dyDescent="0.25">
      <c r="D190" s="16"/>
      <c r="E190" s="16"/>
      <c r="F190" s="16"/>
      <c r="G190" s="16"/>
      <c r="H190" s="16"/>
      <c r="I190" s="240"/>
      <c r="J190" s="240"/>
      <c r="K190" s="237"/>
      <c r="L190" s="237"/>
      <c r="M190" s="237"/>
      <c r="N190" s="240"/>
      <c r="O190" s="240"/>
      <c r="P190" s="240"/>
      <c r="Q190" s="16"/>
      <c r="R190" s="234"/>
      <c r="S190" s="16"/>
      <c r="T190" s="234"/>
      <c r="U190" s="234"/>
      <c r="V190" s="240"/>
    </row>
    <row r="191" spans="1:22" x14ac:dyDescent="0.25">
      <c r="D191" s="16"/>
      <c r="E191" s="16"/>
      <c r="F191" s="16"/>
      <c r="G191" s="16"/>
      <c r="H191" s="16"/>
      <c r="I191" s="240"/>
      <c r="J191" s="240"/>
      <c r="K191" s="237"/>
      <c r="L191" s="237"/>
      <c r="M191" s="237"/>
      <c r="N191" s="240"/>
      <c r="O191" s="240"/>
      <c r="P191" s="240"/>
      <c r="Q191" s="16"/>
      <c r="R191" s="234"/>
      <c r="S191" s="16"/>
      <c r="T191" s="234"/>
      <c r="U191" s="234"/>
      <c r="V191" s="240"/>
    </row>
    <row r="192" spans="1:22" x14ac:dyDescent="0.25">
      <c r="D192" s="16"/>
      <c r="E192" s="16"/>
      <c r="F192" s="16"/>
      <c r="G192" s="16"/>
      <c r="H192" s="16"/>
      <c r="I192" s="240"/>
      <c r="J192" s="240"/>
      <c r="K192" s="237"/>
      <c r="L192" s="237"/>
      <c r="M192" s="237"/>
      <c r="N192" s="240"/>
      <c r="O192" s="240"/>
      <c r="P192" s="240"/>
      <c r="Q192" s="16"/>
      <c r="R192" s="234"/>
      <c r="S192" s="16"/>
      <c r="T192" s="234"/>
      <c r="U192" s="234"/>
      <c r="V192" s="240"/>
    </row>
    <row r="193" spans="4:22" x14ac:dyDescent="0.25">
      <c r="D193" s="16"/>
      <c r="E193" s="16"/>
      <c r="F193" s="16"/>
      <c r="G193" s="16"/>
      <c r="H193" s="16"/>
      <c r="I193" s="240"/>
      <c r="J193" s="240"/>
      <c r="K193" s="237"/>
      <c r="L193" s="237"/>
      <c r="M193" s="237"/>
      <c r="N193" s="240"/>
      <c r="O193" s="240"/>
      <c r="P193" s="240"/>
      <c r="Q193" s="16"/>
      <c r="R193" s="234"/>
      <c r="S193" s="16"/>
      <c r="T193" s="234"/>
      <c r="U193" s="234"/>
      <c r="V193" s="240"/>
    </row>
  </sheetData>
  <sheetProtection selectLockedCells="1" selectUnlockedCells="1"/>
  <autoFilter ref="A6:U182">
    <filterColumn colId="8">
      <filters>
        <filter val="Изготовление энергетического паспорта"/>
      </filters>
    </filterColumn>
  </autoFilter>
  <mergeCells count="545">
    <mergeCell ref="A1:T1"/>
    <mergeCell ref="A2:A5"/>
    <mergeCell ref="B2:B5"/>
    <mergeCell ref="C2:C5"/>
    <mergeCell ref="D2:D5"/>
    <mergeCell ref="Q2:Q5"/>
    <mergeCell ref="E2:E5"/>
    <mergeCell ref="F2:F5"/>
    <mergeCell ref="R2:T3"/>
    <mergeCell ref="U8:U10"/>
    <mergeCell ref="A7:U7"/>
    <mergeCell ref="M2:M4"/>
    <mergeCell ref="N2:N5"/>
    <mergeCell ref="O2:O5"/>
    <mergeCell ref="P2:P5"/>
    <mergeCell ref="L8:L12"/>
    <mergeCell ref="M8:M12"/>
    <mergeCell ref="Q8:Q11"/>
    <mergeCell ref="A8:A12"/>
    <mergeCell ref="B8:B12"/>
    <mergeCell ref="G2:G4"/>
    <mergeCell ref="H2:H4"/>
    <mergeCell ref="E8:E11"/>
    <mergeCell ref="F8:F11"/>
    <mergeCell ref="U2:U5"/>
    <mergeCell ref="R4:R5"/>
    <mergeCell ref="S4:S5"/>
    <mergeCell ref="T4:T5"/>
    <mergeCell ref="I2:I5"/>
    <mergeCell ref="L2:L4"/>
    <mergeCell ref="A13:A14"/>
    <mergeCell ref="B13:B14"/>
    <mergeCell ref="K13:K14"/>
    <mergeCell ref="L13:L14"/>
    <mergeCell ref="T13:T14"/>
    <mergeCell ref="G8:G11"/>
    <mergeCell ref="H8:H11"/>
    <mergeCell ref="K8:K12"/>
    <mergeCell ref="C8:C11"/>
    <mergeCell ref="D8:D11"/>
    <mergeCell ref="T8:T12"/>
    <mergeCell ref="A15:A16"/>
    <mergeCell ref="B15:B16"/>
    <mergeCell ref="K15:K16"/>
    <mergeCell ref="L15:L16"/>
    <mergeCell ref="T15:T16"/>
    <mergeCell ref="A17:A18"/>
    <mergeCell ref="B17:B18"/>
    <mergeCell ref="K17:K18"/>
    <mergeCell ref="L17:L18"/>
    <mergeCell ref="T17:T18"/>
    <mergeCell ref="O19:O20"/>
    <mergeCell ref="Q19:Q20"/>
    <mergeCell ref="T19:T20"/>
    <mergeCell ref="A22:A26"/>
    <mergeCell ref="B22:B26"/>
    <mergeCell ref="C22:C25"/>
    <mergeCell ref="D22:D25"/>
    <mergeCell ref="E22:E25"/>
    <mergeCell ref="F22:F25"/>
    <mergeCell ref="G22:G25"/>
    <mergeCell ref="G19:G20"/>
    <mergeCell ref="H19:H20"/>
    <mergeCell ref="K19:K21"/>
    <mergeCell ref="L19:L21"/>
    <mergeCell ref="M19:M20"/>
    <mergeCell ref="N19:N20"/>
    <mergeCell ref="A19:A21"/>
    <mergeCell ref="B19:B21"/>
    <mergeCell ref="C19:C20"/>
    <mergeCell ref="D19:D20"/>
    <mergeCell ref="E19:E20"/>
    <mergeCell ref="F19:F20"/>
    <mergeCell ref="L27:L31"/>
    <mergeCell ref="M27:M31"/>
    <mergeCell ref="N27:N30"/>
    <mergeCell ref="O27:O30"/>
    <mergeCell ref="Q27:Q30"/>
    <mergeCell ref="T27:T30"/>
    <mergeCell ref="Q22:Q25"/>
    <mergeCell ref="A27:A31"/>
    <mergeCell ref="B27:B31"/>
    <mergeCell ref="C27:C30"/>
    <mergeCell ref="D27:D30"/>
    <mergeCell ref="E27:E30"/>
    <mergeCell ref="F27:F30"/>
    <mergeCell ref="G27:G30"/>
    <mergeCell ref="H27:H30"/>
    <mergeCell ref="K27:K31"/>
    <mergeCell ref="H22:H25"/>
    <mergeCell ref="K22:K25"/>
    <mergeCell ref="L22:L25"/>
    <mergeCell ref="M22:M25"/>
    <mergeCell ref="N22:N25"/>
    <mergeCell ref="O22:O25"/>
    <mergeCell ref="O32:O33"/>
    <mergeCell ref="P32:P33"/>
    <mergeCell ref="Q32:Q34"/>
    <mergeCell ref="T32:T34"/>
    <mergeCell ref="A36:A39"/>
    <mergeCell ref="B36:B39"/>
    <mergeCell ref="C36:C38"/>
    <mergeCell ref="D36:D38"/>
    <mergeCell ref="E36:E38"/>
    <mergeCell ref="F36:F38"/>
    <mergeCell ref="G32:G34"/>
    <mergeCell ref="H32:H34"/>
    <mergeCell ref="K32:K35"/>
    <mergeCell ref="L32:L35"/>
    <mergeCell ref="M32:M35"/>
    <mergeCell ref="N32:N33"/>
    <mergeCell ref="A32:A35"/>
    <mergeCell ref="B32:B35"/>
    <mergeCell ref="C32:C34"/>
    <mergeCell ref="D32:D34"/>
    <mergeCell ref="E32:E34"/>
    <mergeCell ref="F32:F34"/>
    <mergeCell ref="O36:O37"/>
    <mergeCell ref="P36:P37"/>
    <mergeCell ref="Q36:Q38"/>
    <mergeCell ref="T36:T38"/>
    <mergeCell ref="A40:A44"/>
    <mergeCell ref="B40:B44"/>
    <mergeCell ref="C40:C43"/>
    <mergeCell ref="D40:D43"/>
    <mergeCell ref="E40:E43"/>
    <mergeCell ref="F40:F43"/>
    <mergeCell ref="G36:G38"/>
    <mergeCell ref="H36:H38"/>
    <mergeCell ref="K36:K39"/>
    <mergeCell ref="L36:L39"/>
    <mergeCell ref="M36:M38"/>
    <mergeCell ref="N36:N37"/>
    <mergeCell ref="O40:O42"/>
    <mergeCell ref="Q40:Q43"/>
    <mergeCell ref="T40:T43"/>
    <mergeCell ref="A45:A50"/>
    <mergeCell ref="B45:B50"/>
    <mergeCell ref="C45:C49"/>
    <mergeCell ref="D45:D49"/>
    <mergeCell ref="E45:E49"/>
    <mergeCell ref="F45:F49"/>
    <mergeCell ref="G45:G49"/>
    <mergeCell ref="G40:G43"/>
    <mergeCell ref="H40:H43"/>
    <mergeCell ref="K40:K44"/>
    <mergeCell ref="L40:L44"/>
    <mergeCell ref="M40:M43"/>
    <mergeCell ref="N40:N42"/>
    <mergeCell ref="Q45:Q49"/>
    <mergeCell ref="T45:T49"/>
    <mergeCell ref="A51:A54"/>
    <mergeCell ref="B51:B54"/>
    <mergeCell ref="C51:C53"/>
    <mergeCell ref="D51:D53"/>
    <mergeCell ref="E51:E53"/>
    <mergeCell ref="F51:F53"/>
    <mergeCell ref="G51:G52"/>
    <mergeCell ref="H51:H52"/>
    <mergeCell ref="H45:H49"/>
    <mergeCell ref="K45:K49"/>
    <mergeCell ref="L45:L49"/>
    <mergeCell ref="M45:M49"/>
    <mergeCell ref="N45:N48"/>
    <mergeCell ref="O45:O48"/>
    <mergeCell ref="K51:K54"/>
    <mergeCell ref="L51:L54"/>
    <mergeCell ref="M51:M54"/>
    <mergeCell ref="Q51:Q52"/>
    <mergeCell ref="T51:T53"/>
    <mergeCell ref="A55:A56"/>
    <mergeCell ref="B55:B56"/>
    <mergeCell ref="C55:C56"/>
    <mergeCell ref="D55:D56"/>
    <mergeCell ref="E55:E56"/>
    <mergeCell ref="N55:N56"/>
    <mergeCell ref="O55:O56"/>
    <mergeCell ref="Q55:Q56"/>
    <mergeCell ref="T55:T56"/>
    <mergeCell ref="A57:A58"/>
    <mergeCell ref="B57:B58"/>
    <mergeCell ref="C57:C58"/>
    <mergeCell ref="D57:D58"/>
    <mergeCell ref="E57:E58"/>
    <mergeCell ref="F57:F58"/>
    <mergeCell ref="F55:F56"/>
    <mergeCell ref="G55:G56"/>
    <mergeCell ref="H55:H56"/>
    <mergeCell ref="K55:K56"/>
    <mergeCell ref="L55:L56"/>
    <mergeCell ref="M55:M56"/>
    <mergeCell ref="A59:A61"/>
    <mergeCell ref="B59:B61"/>
    <mergeCell ref="C59:C60"/>
    <mergeCell ref="D59:D60"/>
    <mergeCell ref="E59:E60"/>
    <mergeCell ref="F59:F60"/>
    <mergeCell ref="G59:G60"/>
    <mergeCell ref="G57:G58"/>
    <mergeCell ref="H57:H58"/>
    <mergeCell ref="H59:H60"/>
    <mergeCell ref="K59:K61"/>
    <mergeCell ref="L59:L61"/>
    <mergeCell ref="M59:M60"/>
    <mergeCell ref="Q59:Q60"/>
    <mergeCell ref="T59:T60"/>
    <mergeCell ref="O57:O58"/>
    <mergeCell ref="Q57:Q58"/>
    <mergeCell ref="T57:T58"/>
    <mergeCell ref="K57:K58"/>
    <mergeCell ref="L57:L58"/>
    <mergeCell ref="M57:M58"/>
    <mergeCell ref="N57:N58"/>
    <mergeCell ref="A66:A68"/>
    <mergeCell ref="B66:B68"/>
    <mergeCell ref="C66:C67"/>
    <mergeCell ref="D66:D67"/>
    <mergeCell ref="E66:E67"/>
    <mergeCell ref="F66:F67"/>
    <mergeCell ref="G66:G67"/>
    <mergeCell ref="G62:G64"/>
    <mergeCell ref="H62:H64"/>
    <mergeCell ref="A62:A65"/>
    <mergeCell ref="B62:B65"/>
    <mergeCell ref="C62:C64"/>
    <mergeCell ref="D62:D64"/>
    <mergeCell ref="E62:E64"/>
    <mergeCell ref="F62:F64"/>
    <mergeCell ref="H66:H67"/>
    <mergeCell ref="K66:K67"/>
    <mergeCell ref="L66:L67"/>
    <mergeCell ref="M66:M67"/>
    <mergeCell ref="Q66:Q67"/>
    <mergeCell ref="T66:T68"/>
    <mergeCell ref="O62:O64"/>
    <mergeCell ref="Q62:Q64"/>
    <mergeCell ref="T62:T64"/>
    <mergeCell ref="K62:K64"/>
    <mergeCell ref="L62:L64"/>
    <mergeCell ref="M62:M64"/>
    <mergeCell ref="N62:N64"/>
    <mergeCell ref="O69:O73"/>
    <mergeCell ref="P69:P73"/>
    <mergeCell ref="Q69:Q73"/>
    <mergeCell ref="T69:T73"/>
    <mergeCell ref="A74:B74"/>
    <mergeCell ref="A75:Q75"/>
    <mergeCell ref="G69:G73"/>
    <mergeCell ref="H69:H73"/>
    <mergeCell ref="K69:K73"/>
    <mergeCell ref="L69:L73"/>
    <mergeCell ref="M69:M73"/>
    <mergeCell ref="N69:N73"/>
    <mergeCell ref="A69:A73"/>
    <mergeCell ref="B69:B73"/>
    <mergeCell ref="C69:C73"/>
    <mergeCell ref="D69:D73"/>
    <mergeCell ref="E69:E73"/>
    <mergeCell ref="F69:F73"/>
    <mergeCell ref="T79:T81"/>
    <mergeCell ref="T76:T77"/>
    <mergeCell ref="A79:A82"/>
    <mergeCell ref="B79:B82"/>
    <mergeCell ref="C79:C81"/>
    <mergeCell ref="D79:D81"/>
    <mergeCell ref="E79:E81"/>
    <mergeCell ref="F79:F81"/>
    <mergeCell ref="G79:G81"/>
    <mergeCell ref="H79:H81"/>
    <mergeCell ref="K79:K81"/>
    <mergeCell ref="G76:G77"/>
    <mergeCell ref="H76:H77"/>
    <mergeCell ref="K76:K77"/>
    <mergeCell ref="L76:L77"/>
    <mergeCell ref="M76:M77"/>
    <mergeCell ref="Q76:Q77"/>
    <mergeCell ref="A76:A78"/>
    <mergeCell ref="B76:B78"/>
    <mergeCell ref="C76:C77"/>
    <mergeCell ref="D76:D77"/>
    <mergeCell ref="E76:E77"/>
    <mergeCell ref="F76:F77"/>
    <mergeCell ref="C83:C84"/>
    <mergeCell ref="D83:D84"/>
    <mergeCell ref="E83:E84"/>
    <mergeCell ref="F83:F84"/>
    <mergeCell ref="L79:L81"/>
    <mergeCell ref="M79:M81"/>
    <mergeCell ref="N79:N80"/>
    <mergeCell ref="O79:O80"/>
    <mergeCell ref="Q79:Q81"/>
    <mergeCell ref="L86:L88"/>
    <mergeCell ref="M86:M88"/>
    <mergeCell ref="N86:N88"/>
    <mergeCell ref="O86:O88"/>
    <mergeCell ref="Q86:Q88"/>
    <mergeCell ref="T86:T87"/>
    <mergeCell ref="T83:T84"/>
    <mergeCell ref="A86:A89"/>
    <mergeCell ref="B86:B89"/>
    <mergeCell ref="C86:C88"/>
    <mergeCell ref="D86:D88"/>
    <mergeCell ref="E86:E88"/>
    <mergeCell ref="F86:F88"/>
    <mergeCell ref="G86:G88"/>
    <mergeCell ref="H86:H88"/>
    <mergeCell ref="K86:K88"/>
    <mergeCell ref="G83:G84"/>
    <mergeCell ref="H83:H84"/>
    <mergeCell ref="K83:K84"/>
    <mergeCell ref="L83:L84"/>
    <mergeCell ref="M83:M84"/>
    <mergeCell ref="Q83:Q84"/>
    <mergeCell ref="A83:A85"/>
    <mergeCell ref="B83:B85"/>
    <mergeCell ref="G90:G91"/>
    <mergeCell ref="H90:H91"/>
    <mergeCell ref="K90:K91"/>
    <mergeCell ref="L90:L91"/>
    <mergeCell ref="M90:M91"/>
    <mergeCell ref="T90:T91"/>
    <mergeCell ref="A90:A92"/>
    <mergeCell ref="B90:B92"/>
    <mergeCell ref="C90:C91"/>
    <mergeCell ref="D90:D91"/>
    <mergeCell ref="E90:E91"/>
    <mergeCell ref="F90:F91"/>
    <mergeCell ref="A93:B93"/>
    <mergeCell ref="A94:Q94"/>
    <mergeCell ref="A95:A99"/>
    <mergeCell ref="B95:B99"/>
    <mergeCell ref="C95:C98"/>
    <mergeCell ref="D95:D98"/>
    <mergeCell ref="E95:E98"/>
    <mergeCell ref="F95:F98"/>
    <mergeCell ref="G95:G98"/>
    <mergeCell ref="H95:H98"/>
    <mergeCell ref="C100:C104"/>
    <mergeCell ref="D100:D104"/>
    <mergeCell ref="E100:E104"/>
    <mergeCell ref="F100:F104"/>
    <mergeCell ref="K95:K98"/>
    <mergeCell ref="L95:L98"/>
    <mergeCell ref="M95:M98"/>
    <mergeCell ref="Q95:Q98"/>
    <mergeCell ref="T95:T98"/>
    <mergeCell ref="N96:N97"/>
    <mergeCell ref="O96:O97"/>
    <mergeCell ref="L106:L111"/>
    <mergeCell ref="M106:M111"/>
    <mergeCell ref="Q106:Q111"/>
    <mergeCell ref="T106:T111"/>
    <mergeCell ref="N108:N109"/>
    <mergeCell ref="O108:O109"/>
    <mergeCell ref="T100:T104"/>
    <mergeCell ref="A106:A112"/>
    <mergeCell ref="B106:B112"/>
    <mergeCell ref="C106:C111"/>
    <mergeCell ref="D106:D111"/>
    <mergeCell ref="E106:E111"/>
    <mergeCell ref="F106:F111"/>
    <mergeCell ref="G106:G111"/>
    <mergeCell ref="H106:H111"/>
    <mergeCell ref="K106:K111"/>
    <mergeCell ref="G100:G104"/>
    <mergeCell ref="H100:H104"/>
    <mergeCell ref="K100:K104"/>
    <mergeCell ref="L100:L104"/>
    <mergeCell ref="M100:M104"/>
    <mergeCell ref="Q100:Q104"/>
    <mergeCell ref="A100:A105"/>
    <mergeCell ref="B100:B105"/>
    <mergeCell ref="A119:A124"/>
    <mergeCell ref="B119:B124"/>
    <mergeCell ref="C119:C123"/>
    <mergeCell ref="D119:D123"/>
    <mergeCell ref="E119:E123"/>
    <mergeCell ref="F119:F123"/>
    <mergeCell ref="G119:G123"/>
    <mergeCell ref="G113:G117"/>
    <mergeCell ref="H113:H117"/>
    <mergeCell ref="A113:A118"/>
    <mergeCell ref="B113:B118"/>
    <mergeCell ref="C113:C117"/>
    <mergeCell ref="D113:D117"/>
    <mergeCell ref="E113:E117"/>
    <mergeCell ref="F113:F117"/>
    <mergeCell ref="H119:H123"/>
    <mergeCell ref="K119:K123"/>
    <mergeCell ref="L119:L123"/>
    <mergeCell ref="M119:M123"/>
    <mergeCell ref="Q119:Q123"/>
    <mergeCell ref="T119:T123"/>
    <mergeCell ref="N120:N121"/>
    <mergeCell ref="O120:O121"/>
    <mergeCell ref="T113:T117"/>
    <mergeCell ref="N114:N115"/>
    <mergeCell ref="O114:O115"/>
    <mergeCell ref="K113:K117"/>
    <mergeCell ref="L113:L117"/>
    <mergeCell ref="M113:M117"/>
    <mergeCell ref="Q113:Q117"/>
    <mergeCell ref="A129:A131"/>
    <mergeCell ref="B129:B131"/>
    <mergeCell ref="C129:C130"/>
    <mergeCell ref="D129:D130"/>
    <mergeCell ref="E129:E130"/>
    <mergeCell ref="F129:F130"/>
    <mergeCell ref="G129:G130"/>
    <mergeCell ref="G125:G127"/>
    <mergeCell ref="H125:H127"/>
    <mergeCell ref="A125:A128"/>
    <mergeCell ref="B125:B128"/>
    <mergeCell ref="C125:C127"/>
    <mergeCell ref="D125:D127"/>
    <mergeCell ref="E125:E127"/>
    <mergeCell ref="F125:F127"/>
    <mergeCell ref="H129:H130"/>
    <mergeCell ref="K129:K130"/>
    <mergeCell ref="L129:L130"/>
    <mergeCell ref="M129:M130"/>
    <mergeCell ref="Q129:Q130"/>
    <mergeCell ref="T129:T130"/>
    <mergeCell ref="O125:O126"/>
    <mergeCell ref="Q125:Q127"/>
    <mergeCell ref="T125:T127"/>
    <mergeCell ref="K125:K127"/>
    <mergeCell ref="L125:L127"/>
    <mergeCell ref="M125:M127"/>
    <mergeCell ref="N125:N126"/>
    <mergeCell ref="G132:G133"/>
    <mergeCell ref="H132:H133"/>
    <mergeCell ref="K132:K133"/>
    <mergeCell ref="L132:L133"/>
    <mergeCell ref="M132:M133"/>
    <mergeCell ref="T132:T133"/>
    <mergeCell ref="A132:A134"/>
    <mergeCell ref="B132:B134"/>
    <mergeCell ref="C132:C133"/>
    <mergeCell ref="D132:D133"/>
    <mergeCell ref="E132:E133"/>
    <mergeCell ref="F132:F133"/>
    <mergeCell ref="A139:A146"/>
    <mergeCell ref="B139:B146"/>
    <mergeCell ref="C139:C145"/>
    <mergeCell ref="D139:D145"/>
    <mergeCell ref="E139:E145"/>
    <mergeCell ref="F139:F145"/>
    <mergeCell ref="G139:G145"/>
    <mergeCell ref="G135:G137"/>
    <mergeCell ref="H135:H137"/>
    <mergeCell ref="A135:A138"/>
    <mergeCell ref="B135:B138"/>
    <mergeCell ref="C135:C137"/>
    <mergeCell ref="D135:D137"/>
    <mergeCell ref="E135:E137"/>
    <mergeCell ref="F135:F137"/>
    <mergeCell ref="H139:H145"/>
    <mergeCell ref="K139:K145"/>
    <mergeCell ref="L139:L145"/>
    <mergeCell ref="M139:M145"/>
    <mergeCell ref="Q139:Q145"/>
    <mergeCell ref="T139:T145"/>
    <mergeCell ref="N142:N144"/>
    <mergeCell ref="O142:O144"/>
    <mergeCell ref="O135:O137"/>
    <mergeCell ref="Q135:Q137"/>
    <mergeCell ref="T135:T137"/>
    <mergeCell ref="K135:K137"/>
    <mergeCell ref="L135:L137"/>
    <mergeCell ref="M135:M137"/>
    <mergeCell ref="N135:N137"/>
    <mergeCell ref="U151:U153"/>
    <mergeCell ref="A155:A156"/>
    <mergeCell ref="B155:B156"/>
    <mergeCell ref="G147:G153"/>
    <mergeCell ref="H147:H153"/>
    <mergeCell ref="K147:K153"/>
    <mergeCell ref="L147:L153"/>
    <mergeCell ref="M147:M153"/>
    <mergeCell ref="Q147:Q153"/>
    <mergeCell ref="A147:A154"/>
    <mergeCell ref="B147:B154"/>
    <mergeCell ref="C147:C153"/>
    <mergeCell ref="D147:D153"/>
    <mergeCell ref="E147:E153"/>
    <mergeCell ref="F147:F153"/>
    <mergeCell ref="E163:E168"/>
    <mergeCell ref="A157:A158"/>
    <mergeCell ref="B157:B158"/>
    <mergeCell ref="A159:A160"/>
    <mergeCell ref="B159:B160"/>
    <mergeCell ref="A161:B161"/>
    <mergeCell ref="A162:Q162"/>
    <mergeCell ref="T147:T153"/>
    <mergeCell ref="N151:N153"/>
    <mergeCell ref="O151:O153"/>
    <mergeCell ref="K170:K172"/>
    <mergeCell ref="L170:L172"/>
    <mergeCell ref="M170:M172"/>
    <mergeCell ref="O163:O165"/>
    <mergeCell ref="Q163:Q168"/>
    <mergeCell ref="T163:T169"/>
    <mergeCell ref="N167:N168"/>
    <mergeCell ref="O167:O168"/>
    <mergeCell ref="A170:A173"/>
    <mergeCell ref="B170:B173"/>
    <mergeCell ref="C170:C172"/>
    <mergeCell ref="D170:D172"/>
    <mergeCell ref="E170:E172"/>
    <mergeCell ref="G163:G168"/>
    <mergeCell ref="F163:F168"/>
    <mergeCell ref="H163:H168"/>
    <mergeCell ref="K163:K168"/>
    <mergeCell ref="L163:L168"/>
    <mergeCell ref="M163:M168"/>
    <mergeCell ref="N163:N165"/>
    <mergeCell ref="A163:A169"/>
    <mergeCell ref="B163:B169"/>
    <mergeCell ref="C163:C168"/>
    <mergeCell ref="D163:D168"/>
    <mergeCell ref="T174:T180"/>
    <mergeCell ref="A181:B181"/>
    <mergeCell ref="A182:B182"/>
    <mergeCell ref="A183:I183"/>
    <mergeCell ref="J2:K4"/>
    <mergeCell ref="K174:K179"/>
    <mergeCell ref="L174:L179"/>
    <mergeCell ref="M174:M179"/>
    <mergeCell ref="N174:N176"/>
    <mergeCell ref="O174:O176"/>
    <mergeCell ref="Q174:Q179"/>
    <mergeCell ref="Q170:Q172"/>
    <mergeCell ref="T170:T173"/>
    <mergeCell ref="A174:A180"/>
    <mergeCell ref="B174:B180"/>
    <mergeCell ref="C174:C179"/>
    <mergeCell ref="D174:D179"/>
    <mergeCell ref="E174:E179"/>
    <mergeCell ref="F174:F179"/>
    <mergeCell ref="G174:G179"/>
    <mergeCell ref="H174:H179"/>
    <mergeCell ref="F170:F172"/>
    <mergeCell ref="G170:G172"/>
    <mergeCell ref="H170:H172"/>
  </mergeCells>
  <conditionalFormatting sqref="J1:J4 J7:J183 J185:J65536">
    <cfRule type="cellIs" dxfId="0" priority="1" stopIfTrue="1" operator="lessThan">
      <formula>1000</formula>
    </cfRule>
  </conditionalFormatting>
  <pageMargins left="0.51180555555555551" right="0.19652777777777777" top="0.59027777777777779" bottom="0.1701388888888889" header="0.51180555555555551" footer="0.51180555555555551"/>
  <pageSetup paperSize="9" scale="70" firstPageNumber="0" fitToHeight="2" orientation="portrait" horizontalDpi="300" verticalDpi="300" r:id="rId1"/>
  <headerFooter alignWithMargins="0"/>
  <rowBreaks count="1" manualBreakCount="1"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6"/>
  <sheetViews>
    <sheetView tabSelected="1" view="pageBreakPreview" topLeftCell="I1" zoomScale="60" zoomScaleNormal="85" workbookViewId="0">
      <selection activeCell="S17" sqref="S17"/>
    </sheetView>
  </sheetViews>
  <sheetFormatPr defaultColWidth="8.7109375" defaultRowHeight="12.75" x14ac:dyDescent="0.2"/>
  <cols>
    <col min="1" max="1" width="5.7109375" style="257" customWidth="1"/>
    <col min="2" max="2" width="17.85546875" style="423" customWidth="1"/>
    <col min="3" max="4" width="0" style="176" hidden="1" customWidth="1"/>
    <col min="5" max="6" width="0" style="177" hidden="1" customWidth="1"/>
    <col min="7" max="7" width="0" style="178" hidden="1" customWidth="1"/>
    <col min="8" max="8" width="0" style="177" hidden="1" customWidth="1"/>
    <col min="9" max="9" width="28.85546875" style="425" customWidth="1"/>
    <col min="10" max="10" width="20.140625" style="426" hidden="1" customWidth="1"/>
    <col min="11" max="11" width="21.7109375" style="180" hidden="1" customWidth="1"/>
    <col min="12" max="12" width="21.7109375" style="180" customWidth="1"/>
    <col min="13" max="13" width="20.140625" style="427" customWidth="1"/>
    <col min="14" max="14" width="21.7109375" style="428" customWidth="1"/>
    <col min="15" max="16" width="21.7109375" style="428" hidden="1" customWidth="1"/>
    <col min="17" max="18" width="21.7109375" style="181" hidden="1" customWidth="1"/>
    <col min="19" max="19" width="27.7109375" style="429" customWidth="1"/>
    <col min="20" max="20" width="16.42578125" style="177" customWidth="1"/>
    <col min="21" max="21" width="18.5703125" style="176" customWidth="1"/>
    <col min="22" max="22" width="0" style="182" hidden="1" customWidth="1"/>
    <col min="23" max="23" width="9.5703125" style="266" hidden="1" customWidth="1"/>
    <col min="24" max="24" width="0" style="267" hidden="1" customWidth="1"/>
    <col min="25" max="25" width="13.7109375" style="267" hidden="1" customWidth="1"/>
    <col min="26" max="26" width="0.140625" style="267" customWidth="1"/>
    <col min="27" max="27" width="8.7109375" style="268"/>
    <col min="28" max="28" width="12.5703125" style="268" bestFit="1" customWidth="1"/>
    <col min="29" max="29" width="13" style="268" bestFit="1" customWidth="1"/>
    <col min="30" max="30" width="18.85546875" style="268" customWidth="1"/>
    <col min="31" max="16384" width="8.7109375" style="268"/>
  </cols>
  <sheetData>
    <row r="1" spans="1:26" ht="13.5" thickBot="1" x14ac:dyDescent="0.25">
      <c r="B1" s="258"/>
      <c r="C1" s="259"/>
      <c r="D1" s="259"/>
      <c r="E1" s="259"/>
      <c r="F1" s="259"/>
      <c r="G1" s="260"/>
      <c r="H1" s="259"/>
      <c r="I1" s="261"/>
      <c r="J1" s="262"/>
      <c r="K1" s="263"/>
      <c r="L1" s="263"/>
      <c r="M1" s="262"/>
      <c r="N1" s="263"/>
      <c r="O1" s="263"/>
      <c r="P1" s="263"/>
      <c r="Q1" s="263"/>
      <c r="R1" s="263"/>
      <c r="S1" s="263"/>
      <c r="T1" s="264"/>
      <c r="U1" s="265"/>
    </row>
    <row r="2" spans="1:26" ht="14.25" customHeight="1" x14ac:dyDescent="0.2">
      <c r="B2" s="749" t="s">
        <v>294</v>
      </c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1"/>
    </row>
    <row r="3" spans="1:26" x14ac:dyDescent="0.2">
      <c r="B3" s="752"/>
      <c r="C3" s="753"/>
      <c r="D3" s="753"/>
      <c r="E3" s="753"/>
      <c r="F3" s="753"/>
      <c r="G3" s="753"/>
      <c r="H3" s="753"/>
      <c r="I3" s="753"/>
      <c r="J3" s="753"/>
      <c r="K3" s="753"/>
      <c r="L3" s="753"/>
      <c r="M3" s="753"/>
      <c r="N3" s="753"/>
      <c r="O3" s="753"/>
      <c r="P3" s="753"/>
      <c r="Q3" s="753"/>
      <c r="R3" s="753"/>
      <c r="S3" s="753"/>
      <c r="T3" s="754"/>
    </row>
    <row r="4" spans="1:26" ht="18.75" customHeight="1" thickBot="1" x14ac:dyDescent="0.25">
      <c r="B4" s="755"/>
      <c r="C4" s="756"/>
      <c r="D4" s="756"/>
      <c r="E4" s="756"/>
      <c r="F4" s="756"/>
      <c r="G4" s="756"/>
      <c r="H4" s="756"/>
      <c r="I4" s="756"/>
      <c r="J4" s="756"/>
      <c r="K4" s="756"/>
      <c r="L4" s="756"/>
      <c r="M4" s="756"/>
      <c r="N4" s="756"/>
      <c r="O4" s="756"/>
      <c r="P4" s="756"/>
      <c r="Q4" s="756"/>
      <c r="R4" s="756"/>
      <c r="S4" s="756"/>
      <c r="T4" s="757"/>
    </row>
    <row r="5" spans="1:26" x14ac:dyDescent="0.2">
      <c r="B5" s="258"/>
      <c r="C5" s="269"/>
      <c r="D5" s="269"/>
      <c r="E5" s="259"/>
      <c r="F5" s="259"/>
      <c r="G5" s="260"/>
      <c r="H5" s="259"/>
      <c r="I5" s="270"/>
      <c r="J5" s="262"/>
      <c r="K5" s="263"/>
      <c r="L5" s="263"/>
      <c r="M5" s="262"/>
      <c r="N5" s="263"/>
      <c r="O5" s="263"/>
      <c r="P5" s="263"/>
      <c r="Q5" s="263"/>
      <c r="R5" s="263"/>
      <c r="S5" s="271"/>
      <c r="T5" s="259"/>
    </row>
    <row r="6" spans="1:26" x14ac:dyDescent="0.2">
      <c r="B6" s="258"/>
      <c r="C6" s="269"/>
      <c r="D6" s="269"/>
      <c r="E6" s="259"/>
      <c r="F6" s="259"/>
      <c r="G6" s="260"/>
      <c r="H6" s="259"/>
      <c r="I6" s="270"/>
      <c r="J6" s="262"/>
      <c r="K6" s="263"/>
      <c r="L6" s="263"/>
      <c r="M6" s="262"/>
      <c r="N6" s="263"/>
      <c r="O6" s="263"/>
      <c r="P6" s="263"/>
      <c r="Q6" s="263"/>
      <c r="R6" s="263"/>
      <c r="S6" s="271"/>
      <c r="T6" s="259"/>
    </row>
    <row r="7" spans="1:26" ht="13.5" thickBot="1" x14ac:dyDescent="0.25">
      <c r="B7" s="759" t="s">
        <v>296</v>
      </c>
      <c r="C7" s="759"/>
      <c r="D7" s="759"/>
      <c r="E7" s="759"/>
      <c r="F7" s="759"/>
      <c r="G7" s="759"/>
      <c r="H7" s="759"/>
      <c r="I7" s="759"/>
      <c r="J7" s="759"/>
      <c r="K7" s="759"/>
      <c r="L7" s="759"/>
      <c r="M7" s="759"/>
      <c r="N7" s="759"/>
      <c r="O7" s="759"/>
      <c r="P7" s="759"/>
      <c r="Q7" s="759"/>
      <c r="R7" s="759"/>
      <c r="S7" s="759"/>
      <c r="T7" s="759"/>
      <c r="U7" s="272">
        <v>147013267.80000001</v>
      </c>
    </row>
    <row r="8" spans="1:26" ht="12.75" customHeight="1" thickBot="1" x14ac:dyDescent="0.25">
      <c r="A8" s="758"/>
      <c r="B8" s="758"/>
      <c r="C8" s="758"/>
      <c r="D8" s="758"/>
      <c r="E8" s="758"/>
      <c r="F8" s="758"/>
      <c r="G8" s="758"/>
      <c r="H8" s="758"/>
      <c r="I8" s="758"/>
      <c r="J8" s="758"/>
      <c r="K8" s="758"/>
      <c r="L8" s="758"/>
      <c r="M8" s="758"/>
      <c r="N8" s="758"/>
      <c r="O8" s="758"/>
      <c r="P8" s="758"/>
      <c r="Q8" s="758"/>
      <c r="R8" s="758"/>
      <c r="S8" s="758"/>
      <c r="T8" s="758"/>
      <c r="U8" s="758"/>
      <c r="V8" s="758"/>
      <c r="W8" s="758"/>
      <c r="X8" s="758"/>
      <c r="Y8" s="758"/>
      <c r="Z8" s="273"/>
    </row>
    <row r="9" spans="1:26" ht="18" customHeight="1" thickBot="1" x14ac:dyDescent="0.25">
      <c r="A9" s="691" t="s">
        <v>0</v>
      </c>
      <c r="B9" s="692" t="s">
        <v>1</v>
      </c>
      <c r="C9" s="693" t="s">
        <v>2</v>
      </c>
      <c r="D9" s="692" t="s">
        <v>3</v>
      </c>
      <c r="E9" s="693" t="s">
        <v>4</v>
      </c>
      <c r="F9" s="693" t="s">
        <v>5</v>
      </c>
      <c r="G9" s="699" t="s">
        <v>6</v>
      </c>
      <c r="H9" s="693" t="s">
        <v>7</v>
      </c>
      <c r="I9" s="688" t="s">
        <v>8</v>
      </c>
      <c r="J9" s="696" t="s">
        <v>9</v>
      </c>
      <c r="K9" s="696"/>
      <c r="L9" s="688" t="s">
        <v>10</v>
      </c>
      <c r="M9" s="696" t="s">
        <v>259</v>
      </c>
      <c r="N9" s="697"/>
      <c r="O9" s="695" t="s">
        <v>264</v>
      </c>
      <c r="P9" s="674" t="s">
        <v>285</v>
      </c>
      <c r="Q9" s="694" t="s">
        <v>284</v>
      </c>
      <c r="R9" s="690" t="s">
        <v>266</v>
      </c>
      <c r="S9" s="688" t="s">
        <v>12</v>
      </c>
      <c r="T9" s="688" t="s">
        <v>13</v>
      </c>
      <c r="U9" s="688" t="s">
        <v>14</v>
      </c>
      <c r="V9" s="688" t="s">
        <v>15</v>
      </c>
      <c r="W9" s="687" t="s">
        <v>16</v>
      </c>
      <c r="X9" s="687"/>
      <c r="Y9" s="687"/>
      <c r="Z9" s="688" t="s">
        <v>17</v>
      </c>
    </row>
    <row r="10" spans="1:26" ht="27.75" customHeight="1" thickBot="1" x14ac:dyDescent="0.25">
      <c r="A10" s="691"/>
      <c r="B10" s="692"/>
      <c r="C10" s="693"/>
      <c r="D10" s="692"/>
      <c r="E10" s="693"/>
      <c r="F10" s="693"/>
      <c r="G10" s="699"/>
      <c r="H10" s="693"/>
      <c r="I10" s="688"/>
      <c r="J10" s="696"/>
      <c r="K10" s="696"/>
      <c r="L10" s="688"/>
      <c r="M10" s="696"/>
      <c r="N10" s="697"/>
      <c r="O10" s="589"/>
      <c r="P10" s="589"/>
      <c r="Q10" s="694"/>
      <c r="R10" s="577"/>
      <c r="S10" s="688"/>
      <c r="T10" s="688"/>
      <c r="U10" s="688"/>
      <c r="V10" s="688"/>
      <c r="W10" s="687"/>
      <c r="X10" s="687"/>
      <c r="Y10" s="687"/>
      <c r="Z10" s="688"/>
    </row>
    <row r="11" spans="1:26" ht="44.25" customHeight="1" thickBot="1" x14ac:dyDescent="0.25">
      <c r="A11" s="691"/>
      <c r="B11" s="692"/>
      <c r="C11" s="693"/>
      <c r="D11" s="692"/>
      <c r="E11" s="693"/>
      <c r="F11" s="693"/>
      <c r="G11" s="699"/>
      <c r="H11" s="693"/>
      <c r="I11" s="688"/>
      <c r="J11" s="277" t="s">
        <v>18</v>
      </c>
      <c r="K11" s="278" t="s">
        <v>19</v>
      </c>
      <c r="L11" s="688"/>
      <c r="M11" s="277" t="s">
        <v>18</v>
      </c>
      <c r="N11" s="279" t="s">
        <v>19</v>
      </c>
      <c r="O11" s="589"/>
      <c r="P11" s="589"/>
      <c r="Q11" s="694"/>
      <c r="R11" s="578"/>
      <c r="S11" s="688"/>
      <c r="T11" s="688"/>
      <c r="U11" s="688"/>
      <c r="V11" s="688"/>
      <c r="W11" s="659" t="s">
        <v>20</v>
      </c>
      <c r="X11" s="702">
        <v>41886</v>
      </c>
      <c r="Y11" s="659" t="s">
        <v>21</v>
      </c>
      <c r="Z11" s="688"/>
    </row>
    <row r="12" spans="1:26" ht="25.5" customHeight="1" x14ac:dyDescent="0.2">
      <c r="A12" s="691"/>
      <c r="B12" s="692"/>
      <c r="C12" s="693"/>
      <c r="D12" s="692"/>
      <c r="E12" s="693"/>
      <c r="F12" s="693"/>
      <c r="G12" s="282" t="s">
        <v>22</v>
      </c>
      <c r="H12" s="283" t="s">
        <v>23</v>
      </c>
      <c r="I12" s="688"/>
      <c r="J12" s="284" t="s">
        <v>24</v>
      </c>
      <c r="K12" s="278" t="s">
        <v>24</v>
      </c>
      <c r="L12" s="278" t="s">
        <v>24</v>
      </c>
      <c r="M12" s="284" t="s">
        <v>24</v>
      </c>
      <c r="N12" s="279" t="s">
        <v>24</v>
      </c>
      <c r="O12" s="274" t="s">
        <v>263</v>
      </c>
      <c r="P12" s="285" t="s">
        <v>263</v>
      </c>
      <c r="Q12" s="278" t="s">
        <v>24</v>
      </c>
      <c r="R12" s="286"/>
      <c r="S12" s="688"/>
      <c r="T12" s="688"/>
      <c r="U12" s="688"/>
      <c r="V12" s="688"/>
      <c r="W12" s="659"/>
      <c r="X12" s="702"/>
      <c r="Y12" s="702"/>
      <c r="Z12" s="688"/>
    </row>
    <row r="13" spans="1:26" x14ac:dyDescent="0.2">
      <c r="A13" s="287">
        <v>1</v>
      </c>
      <c r="B13" s="283">
        <v>2</v>
      </c>
      <c r="C13" s="283">
        <v>3</v>
      </c>
      <c r="D13" s="283">
        <v>4</v>
      </c>
      <c r="E13" s="283">
        <v>5</v>
      </c>
      <c r="F13" s="283">
        <v>6</v>
      </c>
      <c r="G13" s="283">
        <v>7</v>
      </c>
      <c r="H13" s="283">
        <v>8</v>
      </c>
      <c r="I13" s="283">
        <v>3</v>
      </c>
      <c r="J13" s="283">
        <v>4</v>
      </c>
      <c r="K13" s="283">
        <v>5</v>
      </c>
      <c r="L13" s="283">
        <v>6</v>
      </c>
      <c r="M13" s="283">
        <v>4</v>
      </c>
      <c r="N13" s="283">
        <v>5</v>
      </c>
      <c r="O13" s="288">
        <v>6</v>
      </c>
      <c r="P13" s="283">
        <v>7</v>
      </c>
      <c r="Q13" s="283">
        <v>8</v>
      </c>
      <c r="R13" s="283">
        <v>9</v>
      </c>
      <c r="S13" s="283">
        <v>10</v>
      </c>
      <c r="T13" s="283">
        <v>11</v>
      </c>
      <c r="U13" s="283">
        <v>12</v>
      </c>
      <c r="V13" s="283">
        <v>11</v>
      </c>
      <c r="W13" s="283">
        <v>13</v>
      </c>
      <c r="X13" s="283">
        <v>20</v>
      </c>
      <c r="Y13" s="283">
        <v>14</v>
      </c>
      <c r="Z13" s="289">
        <v>15</v>
      </c>
    </row>
    <row r="14" spans="1:26" s="290" customFormat="1" ht="39.75" customHeight="1" x14ac:dyDescent="0.2">
      <c r="A14" s="703" t="s">
        <v>25</v>
      </c>
      <c r="B14" s="703"/>
      <c r="C14" s="703"/>
      <c r="D14" s="703"/>
      <c r="E14" s="703"/>
      <c r="F14" s="703"/>
      <c r="G14" s="703"/>
      <c r="H14" s="703"/>
      <c r="I14" s="703"/>
      <c r="J14" s="703"/>
      <c r="K14" s="703"/>
      <c r="L14" s="703"/>
      <c r="M14" s="703"/>
      <c r="N14" s="703"/>
      <c r="O14" s="703"/>
      <c r="P14" s="703"/>
      <c r="Q14" s="703"/>
      <c r="R14" s="703"/>
      <c r="S14" s="703"/>
      <c r="T14" s="703"/>
      <c r="U14" s="703"/>
      <c r="V14" s="703"/>
      <c r="W14" s="703"/>
      <c r="X14" s="703"/>
      <c r="Y14" s="703"/>
      <c r="Z14" s="703"/>
    </row>
    <row r="15" spans="1:26" s="304" customFormat="1" ht="55.35" customHeight="1" x14ac:dyDescent="0.2">
      <c r="A15" s="669">
        <v>1</v>
      </c>
      <c r="B15" s="666" t="s">
        <v>27</v>
      </c>
      <c r="C15" s="659">
        <v>1980</v>
      </c>
      <c r="D15" s="649" t="s">
        <v>28</v>
      </c>
      <c r="E15" s="649">
        <v>9</v>
      </c>
      <c r="F15" s="649">
        <v>6</v>
      </c>
      <c r="G15" s="677">
        <v>6379.02</v>
      </c>
      <c r="H15" s="653">
        <v>314</v>
      </c>
      <c r="I15" s="283" t="s">
        <v>29</v>
      </c>
      <c r="J15" s="294">
        <v>390000</v>
      </c>
      <c r="K15" s="582">
        <f>J15+J16+J17+J18+J19+J20+J21</f>
        <v>4308886.7</v>
      </c>
      <c r="L15" s="582">
        <f>SUM(J15:J21)</f>
        <v>4308886.7</v>
      </c>
      <c r="M15" s="296">
        <v>503106.3</v>
      </c>
      <c r="N15" s="698">
        <f>SUM(M15:M21)</f>
        <v>4308886.7</v>
      </c>
      <c r="O15" s="297"/>
      <c r="P15" s="585">
        <f>SUM(N15,O17)</f>
        <v>4259766.7</v>
      </c>
      <c r="Q15" s="585">
        <v>0</v>
      </c>
      <c r="R15" s="585">
        <v>49120</v>
      </c>
      <c r="S15" s="275" t="s">
        <v>30</v>
      </c>
      <c r="T15" s="298">
        <v>41908</v>
      </c>
      <c r="U15" s="299">
        <v>42050</v>
      </c>
      <c r="V15" s="654" t="s">
        <v>31</v>
      </c>
      <c r="W15" s="301">
        <v>1</v>
      </c>
      <c r="X15" s="278">
        <v>0</v>
      </c>
      <c r="Y15" s="625"/>
      <c r="Z15" s="701" t="s">
        <v>32</v>
      </c>
    </row>
    <row r="16" spans="1:26" s="304" customFormat="1" ht="35.25" customHeight="1" x14ac:dyDescent="0.2">
      <c r="A16" s="670"/>
      <c r="B16" s="667"/>
      <c r="C16" s="659"/>
      <c r="D16" s="649"/>
      <c r="E16" s="649"/>
      <c r="F16" s="649"/>
      <c r="G16" s="677"/>
      <c r="H16" s="653"/>
      <c r="I16" s="306" t="s">
        <v>33</v>
      </c>
      <c r="J16" s="294">
        <v>301255.63</v>
      </c>
      <c r="K16" s="583"/>
      <c r="L16" s="583"/>
      <c r="M16" s="296">
        <v>273813.39</v>
      </c>
      <c r="N16" s="698"/>
      <c r="O16" s="297"/>
      <c r="P16" s="589"/>
      <c r="Q16" s="585"/>
      <c r="R16" s="585"/>
      <c r="S16" s="275" t="s">
        <v>34</v>
      </c>
      <c r="T16" s="308">
        <v>41991</v>
      </c>
      <c r="U16" s="299">
        <v>42083</v>
      </c>
      <c r="V16" s="654"/>
      <c r="W16" s="301">
        <v>1</v>
      </c>
      <c r="X16" s="278"/>
      <c r="Y16" s="626"/>
      <c r="Z16" s="701"/>
    </row>
    <row r="17" spans="1:26" s="304" customFormat="1" ht="48.75" customHeight="1" x14ac:dyDescent="0.2">
      <c r="A17" s="670"/>
      <c r="B17" s="667"/>
      <c r="C17" s="659"/>
      <c r="D17" s="649"/>
      <c r="E17" s="649"/>
      <c r="F17" s="649"/>
      <c r="G17" s="677"/>
      <c r="H17" s="653"/>
      <c r="I17" s="306" t="s">
        <v>35</v>
      </c>
      <c r="J17" s="294">
        <v>1270000</v>
      </c>
      <c r="K17" s="583"/>
      <c r="L17" s="583"/>
      <c r="M17" s="296">
        <v>1156893.7</v>
      </c>
      <c r="N17" s="698"/>
      <c r="O17" s="297">
        <v>-49120</v>
      </c>
      <c r="P17" s="589"/>
      <c r="Q17" s="585"/>
      <c r="R17" s="585"/>
      <c r="S17" s="275" t="s">
        <v>36</v>
      </c>
      <c r="T17" s="298">
        <v>41908</v>
      </c>
      <c r="U17" s="299">
        <v>42050</v>
      </c>
      <c r="V17" s="654"/>
      <c r="W17" s="301">
        <v>1</v>
      </c>
      <c r="X17" s="278"/>
      <c r="Y17" s="626"/>
      <c r="Z17" s="701"/>
    </row>
    <row r="18" spans="1:26" s="304" customFormat="1" ht="62.25" customHeight="1" x14ac:dyDescent="0.2">
      <c r="A18" s="670"/>
      <c r="B18" s="667"/>
      <c r="C18" s="659"/>
      <c r="D18" s="649"/>
      <c r="E18" s="649"/>
      <c r="F18" s="649"/>
      <c r="G18" s="677"/>
      <c r="H18" s="653"/>
      <c r="I18" s="306" t="s">
        <v>37</v>
      </c>
      <c r="J18" s="294">
        <v>2043744.37</v>
      </c>
      <c r="K18" s="583"/>
      <c r="L18" s="583"/>
      <c r="M18" s="296">
        <v>2071186.61</v>
      </c>
      <c r="N18" s="698"/>
      <c r="O18" s="297"/>
      <c r="P18" s="589"/>
      <c r="Q18" s="585"/>
      <c r="R18" s="585"/>
      <c r="S18" s="275" t="s">
        <v>34</v>
      </c>
      <c r="T18" s="308">
        <v>41991</v>
      </c>
      <c r="U18" s="299">
        <v>42262</v>
      </c>
      <c r="V18" s="654"/>
      <c r="W18" s="301">
        <v>1</v>
      </c>
      <c r="X18" s="278"/>
      <c r="Y18" s="626"/>
      <c r="Z18" s="303" t="s">
        <v>265</v>
      </c>
    </row>
    <row r="19" spans="1:26" s="304" customFormat="1" ht="61.9" customHeight="1" x14ac:dyDescent="0.2">
      <c r="A19" s="670"/>
      <c r="B19" s="667"/>
      <c r="C19" s="281"/>
      <c r="D19" s="283"/>
      <c r="E19" s="283"/>
      <c r="F19" s="283"/>
      <c r="G19" s="292"/>
      <c r="H19" s="293"/>
      <c r="I19" s="306" t="s">
        <v>39</v>
      </c>
      <c r="J19" s="294">
        <v>3113.08</v>
      </c>
      <c r="K19" s="583"/>
      <c r="L19" s="583"/>
      <c r="M19" s="296">
        <v>3113.08</v>
      </c>
      <c r="N19" s="698"/>
      <c r="O19" s="297"/>
      <c r="P19" s="589"/>
      <c r="Q19" s="585"/>
      <c r="R19" s="585"/>
      <c r="S19" s="275" t="s">
        <v>40</v>
      </c>
      <c r="T19" s="308">
        <v>42100</v>
      </c>
      <c r="U19" s="299">
        <v>42130</v>
      </c>
      <c r="V19" s="300"/>
      <c r="W19" s="301">
        <v>1</v>
      </c>
      <c r="X19" s="278"/>
      <c r="Y19" s="626"/>
      <c r="Z19" s="303"/>
    </row>
    <row r="20" spans="1:26" s="304" customFormat="1" ht="36" customHeight="1" x14ac:dyDescent="0.2">
      <c r="A20" s="670"/>
      <c r="B20" s="667"/>
      <c r="C20" s="309"/>
      <c r="D20" s="310"/>
      <c r="E20" s="310"/>
      <c r="F20" s="310"/>
      <c r="G20" s="311"/>
      <c r="H20" s="291"/>
      <c r="I20" s="312" t="s">
        <v>218</v>
      </c>
      <c r="J20" s="294">
        <v>215000</v>
      </c>
      <c r="K20" s="583"/>
      <c r="L20" s="583"/>
      <c r="M20" s="296">
        <v>215000</v>
      </c>
      <c r="N20" s="698"/>
      <c r="O20" s="297"/>
      <c r="P20" s="589"/>
      <c r="Q20" s="585"/>
      <c r="R20" s="585"/>
      <c r="S20" s="275"/>
      <c r="T20" s="308"/>
      <c r="U20" s="299"/>
      <c r="V20" s="313"/>
      <c r="W20" s="301"/>
      <c r="X20" s="278"/>
      <c r="Y20" s="626"/>
      <c r="Z20" s="314"/>
    </row>
    <row r="21" spans="1:26" s="304" customFormat="1" ht="36" customHeight="1" x14ac:dyDescent="0.2">
      <c r="A21" s="671"/>
      <c r="B21" s="672"/>
      <c r="C21" s="309"/>
      <c r="D21" s="310"/>
      <c r="E21" s="310"/>
      <c r="F21" s="310"/>
      <c r="G21" s="311"/>
      <c r="H21" s="291"/>
      <c r="I21" s="306" t="s">
        <v>219</v>
      </c>
      <c r="J21" s="294">
        <v>85773.62</v>
      </c>
      <c r="K21" s="584"/>
      <c r="L21" s="584"/>
      <c r="M21" s="296">
        <v>85773.62</v>
      </c>
      <c r="N21" s="698"/>
      <c r="O21" s="297"/>
      <c r="P21" s="589"/>
      <c r="Q21" s="585"/>
      <c r="R21" s="585"/>
      <c r="S21" s="275"/>
      <c r="T21" s="308"/>
      <c r="U21" s="299"/>
      <c r="V21" s="313"/>
      <c r="W21" s="301"/>
      <c r="X21" s="278"/>
      <c r="Y21" s="628"/>
      <c r="Z21" s="314"/>
    </row>
    <row r="22" spans="1:26" s="304" customFormat="1" ht="60" customHeight="1" x14ac:dyDescent="0.2">
      <c r="A22" s="669">
        <v>2</v>
      </c>
      <c r="B22" s="666" t="s">
        <v>41</v>
      </c>
      <c r="C22" s="309">
        <v>1958</v>
      </c>
      <c r="D22" s="310" t="s">
        <v>42</v>
      </c>
      <c r="E22" s="310">
        <v>4</v>
      </c>
      <c r="F22" s="310">
        <v>2</v>
      </c>
      <c r="G22" s="311">
        <v>2130.4</v>
      </c>
      <c r="H22" s="291">
        <v>49</v>
      </c>
      <c r="I22" s="306" t="s">
        <v>43</v>
      </c>
      <c r="J22" s="294">
        <v>770000</v>
      </c>
      <c r="K22" s="582">
        <f>J22+J23+J24+J25</f>
        <v>799999.99999999988</v>
      </c>
      <c r="L22" s="582">
        <f>SUM(J22:J25)</f>
        <v>799999.99999999988</v>
      </c>
      <c r="M22" s="296">
        <v>770000</v>
      </c>
      <c r="N22" s="585">
        <f>M22+M23+M24+M25</f>
        <v>799999.99999999988</v>
      </c>
      <c r="O22" s="297"/>
      <c r="P22" s="297"/>
      <c r="Q22" s="585">
        <f>K22-L22</f>
        <v>0</v>
      </c>
      <c r="R22" s="585">
        <v>0</v>
      </c>
      <c r="S22" s="275" t="s">
        <v>44</v>
      </c>
      <c r="T22" s="298">
        <v>41967</v>
      </c>
      <c r="U22" s="299">
        <v>42050</v>
      </c>
      <c r="V22" s="313" t="s">
        <v>45</v>
      </c>
      <c r="W22" s="301">
        <v>1</v>
      </c>
      <c r="X22" s="278"/>
      <c r="Y22" s="625">
        <f>AVERAGE(W22:W22)</f>
        <v>1</v>
      </c>
      <c r="Z22" s="619" t="s">
        <v>217</v>
      </c>
    </row>
    <row r="23" spans="1:26" s="304" customFormat="1" ht="63.95" customHeight="1" x14ac:dyDescent="0.2">
      <c r="A23" s="670"/>
      <c r="B23" s="667"/>
      <c r="C23" s="309"/>
      <c r="D23" s="310"/>
      <c r="E23" s="310"/>
      <c r="F23" s="310"/>
      <c r="G23" s="311"/>
      <c r="H23" s="291"/>
      <c r="I23" s="306" t="s">
        <v>39</v>
      </c>
      <c r="J23" s="294">
        <v>7574.82</v>
      </c>
      <c r="K23" s="583"/>
      <c r="L23" s="583"/>
      <c r="M23" s="296">
        <v>7574.82</v>
      </c>
      <c r="N23" s="585"/>
      <c r="O23" s="297"/>
      <c r="P23" s="297">
        <v>800000</v>
      </c>
      <c r="Q23" s="585"/>
      <c r="R23" s="585"/>
      <c r="S23" s="275" t="s">
        <v>40</v>
      </c>
      <c r="T23" s="308">
        <v>42100</v>
      </c>
      <c r="U23" s="299">
        <v>42130</v>
      </c>
      <c r="V23" s="300"/>
      <c r="W23" s="301">
        <v>1</v>
      </c>
      <c r="X23" s="278"/>
      <c r="Y23" s="626"/>
      <c r="Z23" s="620"/>
    </row>
    <row r="24" spans="1:26" s="304" customFormat="1" ht="26.25" customHeight="1" x14ac:dyDescent="0.2">
      <c r="A24" s="670"/>
      <c r="B24" s="667"/>
      <c r="C24" s="309"/>
      <c r="D24" s="310"/>
      <c r="E24" s="310"/>
      <c r="F24" s="310"/>
      <c r="G24" s="311"/>
      <c r="H24" s="291"/>
      <c r="I24" s="306" t="s">
        <v>220</v>
      </c>
      <c r="J24" s="294">
        <v>5785.08</v>
      </c>
      <c r="K24" s="583"/>
      <c r="L24" s="583"/>
      <c r="M24" s="296">
        <v>5785.08</v>
      </c>
      <c r="N24" s="585"/>
      <c r="O24" s="297"/>
      <c r="P24" s="297"/>
      <c r="Q24" s="585"/>
      <c r="R24" s="585"/>
      <c r="S24" s="275"/>
      <c r="T24" s="308"/>
      <c r="U24" s="299"/>
      <c r="V24" s="300"/>
      <c r="W24" s="301"/>
      <c r="X24" s="278"/>
      <c r="Y24" s="626"/>
      <c r="Z24" s="620"/>
    </row>
    <row r="25" spans="1:26" s="304" customFormat="1" ht="26.25" customHeight="1" x14ac:dyDescent="0.2">
      <c r="A25" s="671"/>
      <c r="B25" s="672"/>
      <c r="C25" s="309"/>
      <c r="D25" s="310"/>
      <c r="E25" s="310"/>
      <c r="F25" s="310"/>
      <c r="G25" s="311"/>
      <c r="H25" s="291"/>
      <c r="I25" s="306" t="s">
        <v>219</v>
      </c>
      <c r="J25" s="294">
        <v>16640.099999999999</v>
      </c>
      <c r="K25" s="584"/>
      <c r="L25" s="584"/>
      <c r="M25" s="296">
        <v>16640.099999999999</v>
      </c>
      <c r="N25" s="585"/>
      <c r="O25" s="297"/>
      <c r="P25" s="297"/>
      <c r="Q25" s="585"/>
      <c r="R25" s="585"/>
      <c r="S25" s="275"/>
      <c r="T25" s="308"/>
      <c r="U25" s="299"/>
      <c r="V25" s="300"/>
      <c r="W25" s="301"/>
      <c r="X25" s="278"/>
      <c r="Y25" s="628"/>
      <c r="Z25" s="621"/>
    </row>
    <row r="26" spans="1:26" s="304" customFormat="1" ht="63" customHeight="1" x14ac:dyDescent="0.2">
      <c r="A26" s="669">
        <v>3</v>
      </c>
      <c r="B26" s="666" t="s">
        <v>46</v>
      </c>
      <c r="C26" s="281">
        <v>1990</v>
      </c>
      <c r="D26" s="283" t="s">
        <v>47</v>
      </c>
      <c r="E26" s="283">
        <v>9</v>
      </c>
      <c r="F26" s="283">
        <v>2</v>
      </c>
      <c r="G26" s="292">
        <v>3172.9</v>
      </c>
      <c r="H26" s="293">
        <v>120</v>
      </c>
      <c r="I26" s="283" t="s">
        <v>48</v>
      </c>
      <c r="J26" s="294">
        <v>2815269.04</v>
      </c>
      <c r="K26" s="582">
        <f>J26+J27+J28+J29</f>
        <v>3200000.04</v>
      </c>
      <c r="L26" s="582">
        <f>SUM(J26:J29)</f>
        <v>3200000.04</v>
      </c>
      <c r="M26" s="296">
        <v>2815269.04</v>
      </c>
      <c r="N26" s="585">
        <f>M26+M27+M28+M29</f>
        <v>3200000.04</v>
      </c>
      <c r="O26" s="585">
        <v>0</v>
      </c>
      <c r="P26" s="297"/>
      <c r="Q26" s="297"/>
      <c r="R26" s="297"/>
      <c r="S26" s="317" t="s">
        <v>287</v>
      </c>
      <c r="T26" s="298">
        <v>41985</v>
      </c>
      <c r="U26" s="318">
        <v>42063</v>
      </c>
      <c r="V26" s="283" t="s">
        <v>50</v>
      </c>
      <c r="W26" s="301">
        <v>1</v>
      </c>
      <c r="X26" s="278"/>
      <c r="Y26" s="622">
        <v>1</v>
      </c>
      <c r="Z26" s="619" t="s">
        <v>217</v>
      </c>
    </row>
    <row r="27" spans="1:26" s="304" customFormat="1" ht="68.25" customHeight="1" x14ac:dyDescent="0.2">
      <c r="A27" s="670"/>
      <c r="B27" s="667"/>
      <c r="C27" s="281"/>
      <c r="D27" s="283"/>
      <c r="E27" s="283"/>
      <c r="F27" s="283"/>
      <c r="G27" s="292"/>
      <c r="H27" s="293"/>
      <c r="I27" s="306" t="s">
        <v>39</v>
      </c>
      <c r="J27" s="294">
        <v>3000.04</v>
      </c>
      <c r="K27" s="583"/>
      <c r="L27" s="583"/>
      <c r="M27" s="296">
        <v>3000.04</v>
      </c>
      <c r="N27" s="585"/>
      <c r="O27" s="589"/>
      <c r="P27" s="297">
        <v>3200000.04</v>
      </c>
      <c r="Q27" s="297">
        <v>0</v>
      </c>
      <c r="R27" s="297">
        <v>0</v>
      </c>
      <c r="S27" s="275" t="s">
        <v>40</v>
      </c>
      <c r="T27" s="308">
        <v>42100</v>
      </c>
      <c r="U27" s="299">
        <v>42130</v>
      </c>
      <c r="V27" s="283"/>
      <c r="W27" s="301">
        <v>1</v>
      </c>
      <c r="X27" s="278"/>
      <c r="Y27" s="623"/>
      <c r="Z27" s="620"/>
    </row>
    <row r="28" spans="1:26" s="304" customFormat="1" ht="21.75" customHeight="1" x14ac:dyDescent="0.2">
      <c r="A28" s="670"/>
      <c r="B28" s="667"/>
      <c r="C28" s="281"/>
      <c r="D28" s="283"/>
      <c r="E28" s="283"/>
      <c r="F28" s="283"/>
      <c r="G28" s="292"/>
      <c r="H28" s="293"/>
      <c r="I28" s="312" t="s">
        <v>218</v>
      </c>
      <c r="J28" s="294">
        <v>315000</v>
      </c>
      <c r="K28" s="583"/>
      <c r="L28" s="583"/>
      <c r="M28" s="296">
        <v>315000</v>
      </c>
      <c r="N28" s="585"/>
      <c r="O28" s="589"/>
      <c r="P28" s="297"/>
      <c r="Q28" s="297"/>
      <c r="R28" s="297"/>
      <c r="S28" s="275"/>
      <c r="T28" s="308"/>
      <c r="U28" s="299"/>
      <c r="V28" s="283"/>
      <c r="W28" s="301"/>
      <c r="X28" s="278"/>
      <c r="Y28" s="623"/>
      <c r="Z28" s="620"/>
    </row>
    <row r="29" spans="1:26" s="304" customFormat="1" ht="26.25" customHeight="1" x14ac:dyDescent="0.2">
      <c r="A29" s="671"/>
      <c r="B29" s="672"/>
      <c r="C29" s="281"/>
      <c r="D29" s="283"/>
      <c r="E29" s="283"/>
      <c r="F29" s="283"/>
      <c r="G29" s="292"/>
      <c r="H29" s="293"/>
      <c r="I29" s="306" t="s">
        <v>219</v>
      </c>
      <c r="J29" s="294">
        <v>66730.960000000006</v>
      </c>
      <c r="K29" s="584"/>
      <c r="L29" s="584"/>
      <c r="M29" s="296">
        <v>66730.960000000006</v>
      </c>
      <c r="N29" s="585"/>
      <c r="O29" s="589"/>
      <c r="P29" s="297"/>
      <c r="Q29" s="297"/>
      <c r="R29" s="297"/>
      <c r="S29" s="275"/>
      <c r="T29" s="308"/>
      <c r="U29" s="299"/>
      <c r="V29" s="283"/>
      <c r="W29" s="301"/>
      <c r="X29" s="278"/>
      <c r="Y29" s="624"/>
      <c r="Z29" s="621"/>
    </row>
    <row r="30" spans="1:26" s="304" customFormat="1" ht="65.25" customHeight="1" x14ac:dyDescent="0.2">
      <c r="A30" s="669">
        <v>4</v>
      </c>
      <c r="B30" s="666" t="s">
        <v>51</v>
      </c>
      <c r="C30" s="281">
        <v>1984</v>
      </c>
      <c r="D30" s="283" t="s">
        <v>52</v>
      </c>
      <c r="E30" s="283">
        <v>9</v>
      </c>
      <c r="F30" s="283">
        <v>4</v>
      </c>
      <c r="G30" s="292">
        <v>5063.3999999999996</v>
      </c>
      <c r="H30" s="293">
        <v>216</v>
      </c>
      <c r="I30" s="283" t="s">
        <v>48</v>
      </c>
      <c r="J30" s="294">
        <v>1398639.12</v>
      </c>
      <c r="K30" s="582">
        <f>J30+J31+J32+J33</f>
        <v>1600000</v>
      </c>
      <c r="L30" s="582">
        <f>SUM(J30:J33)</f>
        <v>1600000</v>
      </c>
      <c r="M30" s="294">
        <v>1398639.12</v>
      </c>
      <c r="N30" s="610">
        <f>M30+M31+M32+M33</f>
        <v>1600000</v>
      </c>
      <c r="O30" s="616">
        <v>0</v>
      </c>
      <c r="P30" s="613">
        <v>1600000</v>
      </c>
      <c r="Q30" s="583">
        <f>K30-L30</f>
        <v>0</v>
      </c>
      <c r="R30" s="583">
        <v>0</v>
      </c>
      <c r="S30" s="286" t="s">
        <v>53</v>
      </c>
      <c r="T30" s="318">
        <v>41967</v>
      </c>
      <c r="U30" s="318">
        <v>42063</v>
      </c>
      <c r="V30" s="300" t="s">
        <v>54</v>
      </c>
      <c r="W30" s="301">
        <v>1</v>
      </c>
      <c r="X30" s="278"/>
      <c r="Y30" s="622">
        <f>W30</f>
        <v>1</v>
      </c>
      <c r="Z30" s="619" t="s">
        <v>217</v>
      </c>
    </row>
    <row r="31" spans="1:26" s="304" customFormat="1" ht="74.650000000000006" customHeight="1" x14ac:dyDescent="0.2">
      <c r="A31" s="670"/>
      <c r="B31" s="667"/>
      <c r="C31" s="281"/>
      <c r="D31" s="283"/>
      <c r="E31" s="283"/>
      <c r="F31" s="283"/>
      <c r="G31" s="292"/>
      <c r="H31" s="293"/>
      <c r="I31" s="306" t="s">
        <v>39</v>
      </c>
      <c r="J31" s="294">
        <v>14127.67</v>
      </c>
      <c r="K31" s="583"/>
      <c r="L31" s="583"/>
      <c r="M31" s="294">
        <v>14127.67</v>
      </c>
      <c r="N31" s="610"/>
      <c r="O31" s="580"/>
      <c r="P31" s="613"/>
      <c r="Q31" s="583"/>
      <c r="R31" s="583"/>
      <c r="S31" s="278" t="s">
        <v>40</v>
      </c>
      <c r="T31" s="299">
        <v>42100</v>
      </c>
      <c r="U31" s="299">
        <v>42130</v>
      </c>
      <c r="V31" s="283"/>
      <c r="W31" s="301">
        <v>1</v>
      </c>
      <c r="X31" s="278"/>
      <c r="Y31" s="623"/>
      <c r="Z31" s="620"/>
    </row>
    <row r="32" spans="1:26" s="304" customFormat="1" ht="23.25" customHeight="1" x14ac:dyDescent="0.2">
      <c r="A32" s="670"/>
      <c r="B32" s="667"/>
      <c r="C32" s="281"/>
      <c r="D32" s="283"/>
      <c r="E32" s="283"/>
      <c r="F32" s="283"/>
      <c r="G32" s="292"/>
      <c r="H32" s="293"/>
      <c r="I32" s="312" t="s">
        <v>218</v>
      </c>
      <c r="J32" s="294">
        <v>157000</v>
      </c>
      <c r="K32" s="583"/>
      <c r="L32" s="583"/>
      <c r="M32" s="294">
        <v>157000</v>
      </c>
      <c r="N32" s="610"/>
      <c r="O32" s="580"/>
      <c r="P32" s="613"/>
      <c r="Q32" s="583"/>
      <c r="R32" s="583"/>
      <c r="S32" s="278"/>
      <c r="T32" s="299"/>
      <c r="U32" s="299"/>
      <c r="V32" s="283"/>
      <c r="W32" s="301"/>
      <c r="X32" s="278"/>
      <c r="Y32" s="623"/>
      <c r="Z32" s="620"/>
    </row>
    <row r="33" spans="1:30" s="304" customFormat="1" ht="24" customHeight="1" x14ac:dyDescent="0.2">
      <c r="A33" s="671"/>
      <c r="B33" s="672"/>
      <c r="C33" s="281"/>
      <c r="D33" s="283"/>
      <c r="E33" s="283"/>
      <c r="F33" s="283"/>
      <c r="G33" s="292"/>
      <c r="H33" s="293"/>
      <c r="I33" s="306" t="s">
        <v>219</v>
      </c>
      <c r="J33" s="294">
        <v>30233.21</v>
      </c>
      <c r="K33" s="584"/>
      <c r="L33" s="584"/>
      <c r="M33" s="294">
        <v>30233.21</v>
      </c>
      <c r="N33" s="611"/>
      <c r="O33" s="581"/>
      <c r="P33" s="614"/>
      <c r="Q33" s="584"/>
      <c r="R33" s="584"/>
      <c r="S33" s="278"/>
      <c r="T33" s="299"/>
      <c r="U33" s="299"/>
      <c r="V33" s="283"/>
      <c r="W33" s="301"/>
      <c r="X33" s="278"/>
      <c r="Y33" s="624"/>
      <c r="Z33" s="621"/>
    </row>
    <row r="34" spans="1:30" s="323" customFormat="1" ht="33" customHeight="1" x14ac:dyDescent="0.2">
      <c r="A34" s="668">
        <v>5</v>
      </c>
      <c r="B34" s="653" t="s">
        <v>55</v>
      </c>
      <c r="C34" s="659">
        <v>1970</v>
      </c>
      <c r="D34" s="649" t="s">
        <v>56</v>
      </c>
      <c r="E34" s="649">
        <v>5</v>
      </c>
      <c r="F34" s="649">
        <v>5</v>
      </c>
      <c r="G34" s="677">
        <v>4477.6000000000004</v>
      </c>
      <c r="H34" s="653">
        <v>150</v>
      </c>
      <c r="I34" s="283" t="s">
        <v>57</v>
      </c>
      <c r="J34" s="294">
        <v>1178567</v>
      </c>
      <c r="K34" s="590">
        <f>J34+J35+J38+J36+J37</f>
        <v>2994300</v>
      </c>
      <c r="L34" s="590">
        <f>SUM(J34:J38)</f>
        <v>2994300</v>
      </c>
      <c r="M34" s="294">
        <v>1178567</v>
      </c>
      <c r="N34" s="700">
        <f>M34+M35+M38+M36+M37</f>
        <v>2993813</v>
      </c>
      <c r="O34" s="579">
        <v>0</v>
      </c>
      <c r="P34" s="612">
        <v>2993813</v>
      </c>
      <c r="Q34" s="582">
        <f>K34-N34</f>
        <v>487</v>
      </c>
      <c r="R34" s="582">
        <v>487</v>
      </c>
      <c r="S34" s="704" t="s">
        <v>58</v>
      </c>
      <c r="T34" s="650">
        <v>41956</v>
      </c>
      <c r="U34" s="299">
        <v>42050</v>
      </c>
      <c r="V34" s="654" t="s">
        <v>59</v>
      </c>
      <c r="W34" s="301">
        <v>1</v>
      </c>
      <c r="X34" s="278"/>
      <c r="Y34" s="622">
        <f>AVERAGE(W34:W35)</f>
        <v>1</v>
      </c>
      <c r="Z34" s="619" t="s">
        <v>217</v>
      </c>
    </row>
    <row r="35" spans="1:30" s="324" customFormat="1" ht="24" customHeight="1" x14ac:dyDescent="0.2">
      <c r="A35" s="668"/>
      <c r="B35" s="653"/>
      <c r="C35" s="659"/>
      <c r="D35" s="649"/>
      <c r="E35" s="649"/>
      <c r="F35" s="649"/>
      <c r="G35" s="677"/>
      <c r="H35" s="653"/>
      <c r="I35" s="283" t="s">
        <v>43</v>
      </c>
      <c r="J35" s="294">
        <f>1534216+487</f>
        <v>1534703</v>
      </c>
      <c r="K35" s="590"/>
      <c r="L35" s="590"/>
      <c r="M35" s="294">
        <v>1534216</v>
      </c>
      <c r="N35" s="700"/>
      <c r="O35" s="580"/>
      <c r="P35" s="613"/>
      <c r="Q35" s="583"/>
      <c r="R35" s="583"/>
      <c r="S35" s="704"/>
      <c r="T35" s="650"/>
      <c r="U35" s="299">
        <v>42050</v>
      </c>
      <c r="V35" s="654"/>
      <c r="W35" s="301">
        <v>1</v>
      </c>
      <c r="X35" s="278"/>
      <c r="Y35" s="623"/>
      <c r="Z35" s="620"/>
      <c r="AB35" s="325"/>
    </row>
    <row r="36" spans="1:30" s="324" customFormat="1" ht="24" customHeight="1" x14ac:dyDescent="0.2">
      <c r="A36" s="668"/>
      <c r="B36" s="653"/>
      <c r="C36" s="281"/>
      <c r="D36" s="283"/>
      <c r="E36" s="283"/>
      <c r="F36" s="283"/>
      <c r="G36" s="292"/>
      <c r="H36" s="293"/>
      <c r="I36" s="283" t="s">
        <v>220</v>
      </c>
      <c r="J36" s="294">
        <v>6377.47</v>
      </c>
      <c r="K36" s="590"/>
      <c r="L36" s="590"/>
      <c r="M36" s="294">
        <v>6377.47</v>
      </c>
      <c r="N36" s="700"/>
      <c r="O36" s="580"/>
      <c r="P36" s="613"/>
      <c r="Q36" s="583"/>
      <c r="R36" s="583"/>
      <c r="S36" s="278"/>
      <c r="T36" s="318"/>
      <c r="U36" s="299"/>
      <c r="V36" s="300"/>
      <c r="W36" s="301"/>
      <c r="X36" s="278"/>
      <c r="Y36" s="623"/>
      <c r="Z36" s="620"/>
    </row>
    <row r="37" spans="1:30" s="324" customFormat="1" ht="26.25" customHeight="1" x14ac:dyDescent="0.2">
      <c r="A37" s="668"/>
      <c r="B37" s="653"/>
      <c r="C37" s="281"/>
      <c r="D37" s="283"/>
      <c r="E37" s="283"/>
      <c r="F37" s="283"/>
      <c r="G37" s="292"/>
      <c r="H37" s="293"/>
      <c r="I37" s="283" t="s">
        <v>219</v>
      </c>
      <c r="J37" s="294">
        <v>62421.21</v>
      </c>
      <c r="K37" s="590"/>
      <c r="L37" s="590"/>
      <c r="M37" s="294">
        <v>62421.21</v>
      </c>
      <c r="N37" s="700"/>
      <c r="O37" s="580"/>
      <c r="P37" s="613"/>
      <c r="Q37" s="583"/>
      <c r="R37" s="583"/>
      <c r="S37" s="278"/>
      <c r="T37" s="318"/>
      <c r="U37" s="299"/>
      <c r="V37" s="300"/>
      <c r="W37" s="301"/>
      <c r="X37" s="278"/>
      <c r="Y37" s="623"/>
      <c r="Z37" s="620"/>
    </row>
    <row r="38" spans="1:30" s="324" customFormat="1" ht="45.75" customHeight="1" x14ac:dyDescent="0.2">
      <c r="A38" s="668"/>
      <c r="B38" s="653"/>
      <c r="C38" s="281"/>
      <c r="D38" s="283"/>
      <c r="E38" s="283"/>
      <c r="F38" s="283"/>
      <c r="G38" s="292"/>
      <c r="H38" s="293"/>
      <c r="I38" s="294" t="s">
        <v>276</v>
      </c>
      <c r="J38" s="326">
        <v>212231.32</v>
      </c>
      <c r="K38" s="590"/>
      <c r="L38" s="590"/>
      <c r="M38" s="294">
        <v>212231.32</v>
      </c>
      <c r="N38" s="700"/>
      <c r="O38" s="581"/>
      <c r="P38" s="614"/>
      <c r="Q38" s="584"/>
      <c r="R38" s="584"/>
      <c r="S38" s="278" t="s">
        <v>61</v>
      </c>
      <c r="T38" s="318">
        <v>42100</v>
      </c>
      <c r="U38" s="299">
        <v>42200</v>
      </c>
      <c r="V38" s="300"/>
      <c r="W38" s="301">
        <v>1</v>
      </c>
      <c r="X38" s="278"/>
      <c r="Y38" s="624"/>
      <c r="Z38" s="621"/>
    </row>
    <row r="39" spans="1:30" s="323" customFormat="1" ht="41.25" customHeight="1" x14ac:dyDescent="0.2">
      <c r="A39" s="669">
        <v>6</v>
      </c>
      <c r="B39" s="666" t="s">
        <v>62</v>
      </c>
      <c r="C39" s="659">
        <v>1974</v>
      </c>
      <c r="D39" s="649" t="s">
        <v>63</v>
      </c>
      <c r="E39" s="649">
        <v>5</v>
      </c>
      <c r="F39" s="649">
        <v>8</v>
      </c>
      <c r="G39" s="677">
        <v>6246.9</v>
      </c>
      <c r="H39" s="653">
        <v>125</v>
      </c>
      <c r="I39" s="327" t="s">
        <v>64</v>
      </c>
      <c r="J39" s="294">
        <v>199260.77</v>
      </c>
      <c r="K39" s="612">
        <f>J48+J47+J46+J45+J44+J43+J42+J41+J40+J39</f>
        <v>4434699.9999999991</v>
      </c>
      <c r="L39" s="582">
        <f>SUM(J39:J48)</f>
        <v>4434699.9999999991</v>
      </c>
      <c r="M39" s="294">
        <v>199260.77</v>
      </c>
      <c r="N39" s="618">
        <f>SUM(M39:M48)</f>
        <v>4434699.9999999991</v>
      </c>
      <c r="O39" s="579">
        <v>0</v>
      </c>
      <c r="P39" s="612">
        <v>4434700</v>
      </c>
      <c r="Q39" s="582">
        <f>K39-N39</f>
        <v>0</v>
      </c>
      <c r="R39" s="582">
        <v>0</v>
      </c>
      <c r="S39" s="722" t="s">
        <v>65</v>
      </c>
      <c r="T39" s="720">
        <v>41956</v>
      </c>
      <c r="U39" s="299">
        <v>42050</v>
      </c>
      <c r="V39" s="654" t="s">
        <v>66</v>
      </c>
      <c r="W39" s="301">
        <v>1</v>
      </c>
      <c r="X39" s="278"/>
      <c r="Y39" s="622">
        <f>AVERAGE(W39:W42)</f>
        <v>1</v>
      </c>
      <c r="Z39" s="619" t="s">
        <v>217</v>
      </c>
    </row>
    <row r="40" spans="1:30" s="323" customFormat="1" ht="34.5" customHeight="1" x14ac:dyDescent="0.2">
      <c r="A40" s="670"/>
      <c r="B40" s="667"/>
      <c r="C40" s="659"/>
      <c r="D40" s="649"/>
      <c r="E40" s="649"/>
      <c r="F40" s="649"/>
      <c r="G40" s="677"/>
      <c r="H40" s="653"/>
      <c r="I40" s="327" t="s">
        <v>37</v>
      </c>
      <c r="J40" s="294">
        <v>1168332.45</v>
      </c>
      <c r="K40" s="613"/>
      <c r="L40" s="583"/>
      <c r="M40" s="294">
        <v>1168332.45</v>
      </c>
      <c r="N40" s="610"/>
      <c r="O40" s="580"/>
      <c r="P40" s="613"/>
      <c r="Q40" s="583"/>
      <c r="R40" s="583"/>
      <c r="S40" s="723"/>
      <c r="T40" s="721"/>
      <c r="U40" s="299">
        <v>42050</v>
      </c>
      <c r="V40" s="654"/>
      <c r="W40" s="301">
        <v>1</v>
      </c>
      <c r="X40" s="278"/>
      <c r="Y40" s="623"/>
      <c r="Z40" s="620"/>
    </row>
    <row r="41" spans="1:30" s="324" customFormat="1" ht="39" customHeight="1" x14ac:dyDescent="0.2">
      <c r="A41" s="670"/>
      <c r="B41" s="667"/>
      <c r="C41" s="659"/>
      <c r="D41" s="649"/>
      <c r="E41" s="649"/>
      <c r="F41" s="649"/>
      <c r="G41" s="677"/>
      <c r="H41" s="653"/>
      <c r="I41" s="327" t="s">
        <v>35</v>
      </c>
      <c r="J41" s="294">
        <v>893556</v>
      </c>
      <c r="K41" s="613"/>
      <c r="L41" s="583"/>
      <c r="M41" s="294">
        <v>893556</v>
      </c>
      <c r="N41" s="610"/>
      <c r="O41" s="580"/>
      <c r="P41" s="613"/>
      <c r="Q41" s="583"/>
      <c r="R41" s="583"/>
      <c r="S41" s="723"/>
      <c r="T41" s="721"/>
      <c r="U41" s="318"/>
      <c r="V41" s="654"/>
      <c r="W41" s="301"/>
      <c r="X41" s="278"/>
      <c r="Y41" s="623"/>
      <c r="Z41" s="620"/>
    </row>
    <row r="42" spans="1:30" s="323" customFormat="1" ht="24.75" customHeight="1" x14ac:dyDescent="0.2">
      <c r="A42" s="670"/>
      <c r="B42" s="667"/>
      <c r="C42" s="659"/>
      <c r="D42" s="649"/>
      <c r="E42" s="649"/>
      <c r="F42" s="649"/>
      <c r="G42" s="677"/>
      <c r="H42" s="653"/>
      <c r="I42" s="327" t="s">
        <v>227</v>
      </c>
      <c r="J42" s="294">
        <v>358024.92</v>
      </c>
      <c r="K42" s="613"/>
      <c r="L42" s="583"/>
      <c r="M42" s="294">
        <v>358024.92</v>
      </c>
      <c r="N42" s="610"/>
      <c r="O42" s="580"/>
      <c r="P42" s="613"/>
      <c r="Q42" s="583"/>
      <c r="R42" s="583"/>
      <c r="S42" s="723"/>
      <c r="T42" s="721"/>
      <c r="U42" s="299">
        <v>42050</v>
      </c>
      <c r="V42" s="654"/>
      <c r="W42" s="301">
        <v>1</v>
      </c>
      <c r="X42" s="278"/>
      <c r="Y42" s="623"/>
      <c r="Z42" s="620"/>
    </row>
    <row r="43" spans="1:30" s="323" customFormat="1" ht="24.75" customHeight="1" x14ac:dyDescent="0.2">
      <c r="A43" s="670"/>
      <c r="B43" s="667"/>
      <c r="C43" s="281"/>
      <c r="D43" s="283"/>
      <c r="E43" s="283"/>
      <c r="F43" s="283"/>
      <c r="G43" s="292"/>
      <c r="H43" s="293"/>
      <c r="I43" s="327" t="s">
        <v>225</v>
      </c>
      <c r="J43" s="294">
        <v>325631.69</v>
      </c>
      <c r="K43" s="613"/>
      <c r="L43" s="583"/>
      <c r="M43" s="294">
        <v>325631.69</v>
      </c>
      <c r="N43" s="610"/>
      <c r="O43" s="580"/>
      <c r="P43" s="613"/>
      <c r="Q43" s="583"/>
      <c r="R43" s="583"/>
      <c r="S43" s="723"/>
      <c r="T43" s="721"/>
      <c r="U43" s="299"/>
      <c r="V43" s="300"/>
      <c r="W43" s="301"/>
      <c r="X43" s="278"/>
      <c r="Y43" s="623"/>
      <c r="Z43" s="620"/>
    </row>
    <row r="44" spans="1:30" s="323" customFormat="1" ht="42" customHeight="1" x14ac:dyDescent="0.2">
      <c r="A44" s="670"/>
      <c r="B44" s="667"/>
      <c r="C44" s="281"/>
      <c r="D44" s="283"/>
      <c r="E44" s="283"/>
      <c r="F44" s="283"/>
      <c r="G44" s="292"/>
      <c r="H44" s="293"/>
      <c r="I44" s="306" t="s">
        <v>67</v>
      </c>
      <c r="J44" s="330">
        <v>337746.71</v>
      </c>
      <c r="K44" s="583"/>
      <c r="L44" s="583"/>
      <c r="M44" s="330">
        <v>340024.08</v>
      </c>
      <c r="N44" s="610"/>
      <c r="O44" s="580"/>
      <c r="P44" s="613"/>
      <c r="Q44" s="583"/>
      <c r="R44" s="583"/>
      <c r="S44" s="724"/>
      <c r="T44" s="643"/>
      <c r="U44" s="299"/>
      <c r="V44" s="300"/>
      <c r="W44" s="301"/>
      <c r="X44" s="278"/>
      <c r="Y44" s="623"/>
      <c r="Z44" s="620"/>
      <c r="AC44" s="332"/>
      <c r="AD44" s="332"/>
    </row>
    <row r="45" spans="1:30" s="323" customFormat="1" ht="52.5" customHeight="1" x14ac:dyDescent="0.2">
      <c r="A45" s="670"/>
      <c r="B45" s="667"/>
      <c r="C45" s="281"/>
      <c r="D45" s="283"/>
      <c r="E45" s="283"/>
      <c r="F45" s="283"/>
      <c r="G45" s="292"/>
      <c r="H45" s="293"/>
      <c r="I45" s="306" t="s">
        <v>68</v>
      </c>
      <c r="J45" s="294">
        <v>874304</v>
      </c>
      <c r="K45" s="583"/>
      <c r="L45" s="583"/>
      <c r="M45" s="294">
        <v>872026.63</v>
      </c>
      <c r="N45" s="610"/>
      <c r="O45" s="580"/>
      <c r="P45" s="613"/>
      <c r="Q45" s="583"/>
      <c r="R45" s="583"/>
      <c r="S45" s="278" t="s">
        <v>69</v>
      </c>
      <c r="T45" s="329">
        <v>42100</v>
      </c>
      <c r="U45" s="299">
        <v>42248</v>
      </c>
      <c r="V45" s="300"/>
      <c r="W45" s="301">
        <v>1</v>
      </c>
      <c r="X45" s="278"/>
      <c r="Y45" s="623"/>
      <c r="Z45" s="620"/>
    </row>
    <row r="46" spans="1:30" s="323" customFormat="1" ht="29.25" customHeight="1" x14ac:dyDescent="0.2">
      <c r="A46" s="670"/>
      <c r="B46" s="667"/>
      <c r="C46" s="281"/>
      <c r="D46" s="283"/>
      <c r="E46" s="283"/>
      <c r="F46" s="283"/>
      <c r="G46" s="292"/>
      <c r="H46" s="293"/>
      <c r="I46" s="333" t="s">
        <v>218</v>
      </c>
      <c r="J46" s="326">
        <v>179000</v>
      </c>
      <c r="K46" s="583"/>
      <c r="L46" s="583"/>
      <c r="M46" s="294">
        <v>179000</v>
      </c>
      <c r="N46" s="610"/>
      <c r="O46" s="580"/>
      <c r="P46" s="613"/>
      <c r="Q46" s="583"/>
      <c r="R46" s="583"/>
      <c r="S46" s="279"/>
      <c r="T46" s="334"/>
      <c r="U46" s="308"/>
      <c r="V46" s="300"/>
      <c r="W46" s="301"/>
      <c r="X46" s="278"/>
      <c r="Y46" s="623"/>
      <c r="Z46" s="620"/>
    </row>
    <row r="47" spans="1:30" s="323" customFormat="1" ht="29.25" customHeight="1" x14ac:dyDescent="0.2">
      <c r="A47" s="670"/>
      <c r="B47" s="667"/>
      <c r="C47" s="281"/>
      <c r="D47" s="283"/>
      <c r="E47" s="283"/>
      <c r="F47" s="283"/>
      <c r="G47" s="292"/>
      <c r="H47" s="293"/>
      <c r="I47" s="326" t="s">
        <v>219</v>
      </c>
      <c r="J47" s="326">
        <v>89163.87</v>
      </c>
      <c r="K47" s="583"/>
      <c r="L47" s="583"/>
      <c r="M47" s="294">
        <v>89163.87</v>
      </c>
      <c r="N47" s="610"/>
      <c r="O47" s="580"/>
      <c r="P47" s="613"/>
      <c r="Q47" s="583"/>
      <c r="R47" s="583"/>
      <c r="S47" s="279"/>
      <c r="T47" s="334"/>
      <c r="U47" s="308"/>
      <c r="V47" s="300"/>
      <c r="W47" s="301"/>
      <c r="X47" s="278"/>
      <c r="Y47" s="623"/>
      <c r="Z47" s="620"/>
    </row>
    <row r="48" spans="1:30" s="323" customFormat="1" ht="26.25" customHeight="1" x14ac:dyDescent="0.2">
      <c r="A48" s="670"/>
      <c r="B48" s="667"/>
      <c r="C48" s="281"/>
      <c r="D48" s="283"/>
      <c r="E48" s="283"/>
      <c r="F48" s="283"/>
      <c r="G48" s="292"/>
      <c r="H48" s="293"/>
      <c r="I48" s="326" t="s">
        <v>220</v>
      </c>
      <c r="J48" s="326">
        <v>9679.59</v>
      </c>
      <c r="K48" s="584"/>
      <c r="L48" s="584"/>
      <c r="M48" s="294">
        <v>9679.59</v>
      </c>
      <c r="N48" s="610"/>
      <c r="O48" s="580"/>
      <c r="P48" s="613"/>
      <c r="Q48" s="583"/>
      <c r="R48" s="583"/>
      <c r="S48" s="335"/>
      <c r="T48" s="334"/>
      <c r="U48" s="308"/>
      <c r="V48" s="300"/>
      <c r="W48" s="301"/>
      <c r="X48" s="278"/>
      <c r="Y48" s="623"/>
      <c r="Z48" s="620"/>
    </row>
    <row r="49" spans="1:30" s="304" customFormat="1" ht="42.75" customHeight="1" x14ac:dyDescent="0.2">
      <c r="A49" s="669">
        <v>7</v>
      </c>
      <c r="B49" s="666" t="s">
        <v>70</v>
      </c>
      <c r="C49" s="659">
        <v>1968</v>
      </c>
      <c r="D49" s="649" t="s">
        <v>71</v>
      </c>
      <c r="E49" s="649">
        <v>5</v>
      </c>
      <c r="F49" s="649">
        <v>6</v>
      </c>
      <c r="G49" s="677">
        <v>4809.8</v>
      </c>
      <c r="H49" s="653">
        <v>195</v>
      </c>
      <c r="I49" s="327" t="s">
        <v>222</v>
      </c>
      <c r="J49" s="294">
        <v>303761.5</v>
      </c>
      <c r="K49" s="582">
        <f>J49+J54+J55+J56+J53+J52+J51+J50+J57</f>
        <v>4338530</v>
      </c>
      <c r="L49" s="618">
        <f>SUM(J49:J57)</f>
        <v>4338530</v>
      </c>
      <c r="M49" s="296">
        <v>303761.5</v>
      </c>
      <c r="N49" s="585">
        <f>M49+M50+M51+M52+M53+M54+M55+M56+M57</f>
        <v>4338530</v>
      </c>
      <c r="O49" s="585">
        <v>0</v>
      </c>
      <c r="P49" s="585">
        <v>4338530</v>
      </c>
      <c r="Q49" s="585">
        <f>K49-N49</f>
        <v>0</v>
      </c>
      <c r="R49" s="585">
        <v>0</v>
      </c>
      <c r="S49" s="686" t="s">
        <v>72</v>
      </c>
      <c r="T49" s="714">
        <v>41921</v>
      </c>
      <c r="U49" s="298">
        <v>42063</v>
      </c>
      <c r="V49" s="654" t="s">
        <v>73</v>
      </c>
      <c r="W49" s="301">
        <v>1</v>
      </c>
      <c r="X49" s="278"/>
      <c r="Y49" s="622">
        <f>AVERAGE(W49:W53)</f>
        <v>1</v>
      </c>
      <c r="Z49" s="619" t="s">
        <v>217</v>
      </c>
    </row>
    <row r="50" spans="1:30" s="304" customFormat="1" ht="42.75" customHeight="1" x14ac:dyDescent="0.2">
      <c r="A50" s="670"/>
      <c r="B50" s="667"/>
      <c r="C50" s="659"/>
      <c r="D50" s="649"/>
      <c r="E50" s="649"/>
      <c r="F50" s="649"/>
      <c r="G50" s="677"/>
      <c r="H50" s="653"/>
      <c r="I50" s="327" t="s">
        <v>223</v>
      </c>
      <c r="J50" s="294">
        <v>21631.99</v>
      </c>
      <c r="K50" s="583"/>
      <c r="L50" s="610"/>
      <c r="M50" s="296">
        <v>21631.99</v>
      </c>
      <c r="N50" s="585"/>
      <c r="O50" s="589"/>
      <c r="P50" s="585"/>
      <c r="Q50" s="585"/>
      <c r="R50" s="585"/>
      <c r="S50" s="686"/>
      <c r="T50" s="714"/>
      <c r="U50" s="298"/>
      <c r="V50" s="654"/>
      <c r="W50" s="301"/>
      <c r="X50" s="278"/>
      <c r="Y50" s="623"/>
      <c r="Z50" s="620"/>
    </row>
    <row r="51" spans="1:30" s="304" customFormat="1" ht="31.5" customHeight="1" x14ac:dyDescent="0.2">
      <c r="A51" s="670"/>
      <c r="B51" s="667"/>
      <c r="C51" s="659"/>
      <c r="D51" s="649"/>
      <c r="E51" s="649"/>
      <c r="F51" s="649"/>
      <c r="G51" s="677"/>
      <c r="H51" s="653"/>
      <c r="I51" s="336" t="s">
        <v>35</v>
      </c>
      <c r="J51" s="294">
        <v>913887.26</v>
      </c>
      <c r="K51" s="583"/>
      <c r="L51" s="610"/>
      <c r="M51" s="296">
        <v>913887.26</v>
      </c>
      <c r="N51" s="585"/>
      <c r="O51" s="589"/>
      <c r="P51" s="585"/>
      <c r="Q51" s="585"/>
      <c r="R51" s="585"/>
      <c r="S51" s="686"/>
      <c r="T51" s="714"/>
      <c r="U51" s="308">
        <v>42050</v>
      </c>
      <c r="V51" s="654"/>
      <c r="W51" s="301">
        <v>1</v>
      </c>
      <c r="X51" s="278"/>
      <c r="Y51" s="623"/>
      <c r="Z51" s="620"/>
    </row>
    <row r="52" spans="1:30" s="304" customFormat="1" ht="52.5" customHeight="1" x14ac:dyDescent="0.2">
      <c r="A52" s="670"/>
      <c r="B52" s="667"/>
      <c r="C52" s="659"/>
      <c r="D52" s="649"/>
      <c r="E52" s="649"/>
      <c r="F52" s="649"/>
      <c r="G52" s="677"/>
      <c r="H52" s="653"/>
      <c r="I52" s="336" t="s">
        <v>57</v>
      </c>
      <c r="J52" s="294">
        <v>763685.59</v>
      </c>
      <c r="K52" s="583"/>
      <c r="L52" s="610"/>
      <c r="M52" s="296">
        <v>763685.59</v>
      </c>
      <c r="N52" s="585"/>
      <c r="O52" s="589"/>
      <c r="P52" s="585"/>
      <c r="Q52" s="585"/>
      <c r="R52" s="585"/>
      <c r="S52" s="686"/>
      <c r="T52" s="714"/>
      <c r="U52" s="308">
        <v>42217</v>
      </c>
      <c r="V52" s="654" t="s">
        <v>38</v>
      </c>
      <c r="W52" s="301">
        <v>1</v>
      </c>
      <c r="X52" s="278"/>
      <c r="Y52" s="623"/>
      <c r="Z52" s="620"/>
      <c r="AC52" s="337"/>
    </row>
    <row r="53" spans="1:30" s="304" customFormat="1" ht="27.75" customHeight="1" x14ac:dyDescent="0.2">
      <c r="A53" s="670"/>
      <c r="B53" s="667"/>
      <c r="C53" s="659"/>
      <c r="D53" s="649"/>
      <c r="E53" s="649"/>
      <c r="F53" s="649"/>
      <c r="G53" s="677"/>
      <c r="H53" s="653"/>
      <c r="I53" s="336" t="s">
        <v>43</v>
      </c>
      <c r="J53" s="294">
        <v>1944209.56</v>
      </c>
      <c r="K53" s="583"/>
      <c r="L53" s="610"/>
      <c r="M53" s="296">
        <v>1944209.56</v>
      </c>
      <c r="N53" s="585"/>
      <c r="O53" s="589"/>
      <c r="P53" s="585"/>
      <c r="Q53" s="585"/>
      <c r="R53" s="585"/>
      <c r="S53" s="686"/>
      <c r="T53" s="714"/>
      <c r="U53" s="308">
        <v>42050</v>
      </c>
      <c r="V53" s="654"/>
      <c r="W53" s="301">
        <v>1</v>
      </c>
      <c r="X53" s="278"/>
      <c r="Y53" s="623"/>
      <c r="Z53" s="620"/>
    </row>
    <row r="54" spans="1:30" s="304" customFormat="1" ht="61.5" customHeight="1" x14ac:dyDescent="0.2">
      <c r="A54" s="670"/>
      <c r="B54" s="667"/>
      <c r="C54" s="281"/>
      <c r="D54" s="283"/>
      <c r="E54" s="283"/>
      <c r="F54" s="283"/>
      <c r="G54" s="292"/>
      <c r="H54" s="293"/>
      <c r="I54" s="306" t="s">
        <v>39</v>
      </c>
      <c r="J54" s="330">
        <v>32601.06</v>
      </c>
      <c r="K54" s="583"/>
      <c r="L54" s="610"/>
      <c r="M54" s="296">
        <v>32601.06</v>
      </c>
      <c r="N54" s="585"/>
      <c r="O54" s="589"/>
      <c r="P54" s="585"/>
      <c r="Q54" s="585"/>
      <c r="R54" s="585"/>
      <c r="S54" s="275" t="s">
        <v>40</v>
      </c>
      <c r="T54" s="338">
        <v>42100</v>
      </c>
      <c r="U54" s="299">
        <v>42130</v>
      </c>
      <c r="V54" s="283"/>
      <c r="W54" s="301">
        <v>1</v>
      </c>
      <c r="X54" s="278"/>
      <c r="Y54" s="623"/>
      <c r="Z54" s="620"/>
    </row>
    <row r="55" spans="1:30" s="304" customFormat="1" ht="30" customHeight="1" x14ac:dyDescent="0.2">
      <c r="A55" s="670"/>
      <c r="B55" s="667"/>
      <c r="C55" s="281"/>
      <c r="D55" s="283"/>
      <c r="E55" s="283"/>
      <c r="F55" s="283"/>
      <c r="G55" s="292"/>
      <c r="H55" s="293"/>
      <c r="I55" s="306" t="s">
        <v>220</v>
      </c>
      <c r="J55" s="294">
        <v>15351.28</v>
      </c>
      <c r="K55" s="583"/>
      <c r="L55" s="610"/>
      <c r="M55" s="296">
        <v>15351.28</v>
      </c>
      <c r="N55" s="585"/>
      <c r="O55" s="589"/>
      <c r="P55" s="585"/>
      <c r="Q55" s="585"/>
      <c r="R55" s="585"/>
      <c r="S55" s="275"/>
      <c r="T55" s="308"/>
      <c r="U55" s="299"/>
      <c r="V55" s="283"/>
      <c r="W55" s="301"/>
      <c r="X55" s="278"/>
      <c r="Y55" s="623"/>
      <c r="Z55" s="620"/>
    </row>
    <row r="56" spans="1:30" s="304" customFormat="1" ht="32.25" customHeight="1" x14ac:dyDescent="0.2">
      <c r="A56" s="670"/>
      <c r="B56" s="667"/>
      <c r="C56" s="281"/>
      <c r="D56" s="283"/>
      <c r="E56" s="283"/>
      <c r="F56" s="283"/>
      <c r="G56" s="292"/>
      <c r="H56" s="293"/>
      <c r="I56" s="306" t="s">
        <v>219</v>
      </c>
      <c r="J56" s="294">
        <v>90577.66</v>
      </c>
      <c r="K56" s="583"/>
      <c r="L56" s="610"/>
      <c r="M56" s="339">
        <v>90577.66</v>
      </c>
      <c r="N56" s="585"/>
      <c r="O56" s="589"/>
      <c r="P56" s="585"/>
      <c r="Q56" s="585"/>
      <c r="R56" s="585"/>
      <c r="S56" s="275"/>
      <c r="T56" s="308"/>
      <c r="U56" s="299"/>
      <c r="V56" s="283"/>
      <c r="W56" s="301"/>
      <c r="X56" s="278"/>
      <c r="Y56" s="623"/>
      <c r="Z56" s="620"/>
    </row>
    <row r="57" spans="1:30" s="304" customFormat="1" ht="32.25" customHeight="1" x14ac:dyDescent="0.2">
      <c r="A57" s="671"/>
      <c r="B57" s="672"/>
      <c r="C57" s="281"/>
      <c r="D57" s="283"/>
      <c r="E57" s="283"/>
      <c r="F57" s="283"/>
      <c r="G57" s="292"/>
      <c r="H57" s="293"/>
      <c r="I57" s="306" t="s">
        <v>224</v>
      </c>
      <c r="J57" s="294">
        <v>252824.1</v>
      </c>
      <c r="K57" s="584"/>
      <c r="L57" s="611"/>
      <c r="M57" s="340">
        <v>252824.1</v>
      </c>
      <c r="N57" s="585"/>
      <c r="O57" s="589"/>
      <c r="P57" s="585"/>
      <c r="Q57" s="585"/>
      <c r="R57" s="585"/>
      <c r="S57" s="275" t="s">
        <v>244</v>
      </c>
      <c r="T57" s="308"/>
      <c r="U57" s="299">
        <v>42217</v>
      </c>
      <c r="V57" s="283"/>
      <c r="W57" s="301">
        <v>1</v>
      </c>
      <c r="X57" s="278"/>
      <c r="Y57" s="623"/>
      <c r="Z57" s="620"/>
    </row>
    <row r="58" spans="1:30" s="304" customFormat="1" ht="36.75" customHeight="1" x14ac:dyDescent="0.2">
      <c r="A58" s="669">
        <v>8</v>
      </c>
      <c r="B58" s="666" t="s">
        <v>74</v>
      </c>
      <c r="C58" s="659">
        <v>1988</v>
      </c>
      <c r="D58" s="649" t="s">
        <v>75</v>
      </c>
      <c r="E58" s="649">
        <v>9</v>
      </c>
      <c r="F58" s="649">
        <v>4</v>
      </c>
      <c r="G58" s="677">
        <v>5533.8</v>
      </c>
      <c r="H58" s="653">
        <v>209</v>
      </c>
      <c r="I58" s="306" t="s">
        <v>57</v>
      </c>
      <c r="J58" s="296">
        <v>788874.83</v>
      </c>
      <c r="K58" s="582">
        <f>J58+J59+J60+J61+J62+J63+J64+J65</f>
        <v>7349999.9999999991</v>
      </c>
      <c r="L58" s="582">
        <f>SUM(J58:J65)</f>
        <v>7349999.9999999991</v>
      </c>
      <c r="M58" s="341">
        <v>788874.83</v>
      </c>
      <c r="N58" s="579">
        <f>SUM(M58:M65)</f>
        <v>7349999.9999999991</v>
      </c>
      <c r="O58" s="579">
        <v>0</v>
      </c>
      <c r="P58" s="579">
        <v>7350000</v>
      </c>
      <c r="Q58" s="585">
        <f>K58-N58</f>
        <v>0</v>
      </c>
      <c r="R58" s="684">
        <v>0</v>
      </c>
      <c r="S58" s="689" t="s">
        <v>76</v>
      </c>
      <c r="T58" s="708">
        <v>41957</v>
      </c>
      <c r="U58" s="650">
        <v>42077</v>
      </c>
      <c r="V58" s="654" t="s">
        <v>77</v>
      </c>
      <c r="W58" s="301">
        <v>1</v>
      </c>
      <c r="X58" s="278"/>
      <c r="Y58" s="625"/>
      <c r="Z58" s="619"/>
    </row>
    <row r="59" spans="1:30" s="304" customFormat="1" ht="36.75" customHeight="1" x14ac:dyDescent="0.2">
      <c r="A59" s="670"/>
      <c r="B59" s="667"/>
      <c r="C59" s="659"/>
      <c r="D59" s="649"/>
      <c r="E59" s="649"/>
      <c r="F59" s="649"/>
      <c r="G59" s="677"/>
      <c r="H59" s="653"/>
      <c r="I59" s="306" t="s">
        <v>67</v>
      </c>
      <c r="J59" s="296">
        <v>62756.58</v>
      </c>
      <c r="K59" s="583"/>
      <c r="L59" s="583"/>
      <c r="M59" s="296">
        <v>62756.58</v>
      </c>
      <c r="N59" s="616"/>
      <c r="O59" s="580"/>
      <c r="P59" s="616"/>
      <c r="Q59" s="585"/>
      <c r="R59" s="588"/>
      <c r="S59" s="689"/>
      <c r="T59" s="708"/>
      <c r="U59" s="650"/>
      <c r="V59" s="654"/>
      <c r="W59" s="301">
        <v>1</v>
      </c>
      <c r="X59" s="278"/>
      <c r="Y59" s="626"/>
      <c r="Z59" s="620"/>
    </row>
    <row r="60" spans="1:30" s="304" customFormat="1" ht="65.099999999999994" customHeight="1" x14ac:dyDescent="0.2">
      <c r="A60" s="670"/>
      <c r="B60" s="667"/>
      <c r="C60" s="659"/>
      <c r="D60" s="649"/>
      <c r="E60" s="649"/>
      <c r="F60" s="649"/>
      <c r="G60" s="677"/>
      <c r="H60" s="653"/>
      <c r="I60" s="306" t="s">
        <v>48</v>
      </c>
      <c r="J60" s="296">
        <v>5676720.7999999998</v>
      </c>
      <c r="K60" s="583"/>
      <c r="L60" s="583"/>
      <c r="M60" s="296">
        <v>5676720.7999999998</v>
      </c>
      <c r="N60" s="616"/>
      <c r="O60" s="580"/>
      <c r="P60" s="616"/>
      <c r="Q60" s="585"/>
      <c r="R60" s="588"/>
      <c r="S60" s="286" t="s">
        <v>288</v>
      </c>
      <c r="T60" s="318">
        <v>41967</v>
      </c>
      <c r="U60" s="318">
        <v>42063</v>
      </c>
      <c r="V60" s="654"/>
      <c r="W60" s="301">
        <v>1</v>
      </c>
      <c r="X60" s="278"/>
      <c r="Y60" s="626"/>
      <c r="Z60" s="620"/>
    </row>
    <row r="61" spans="1:30" s="304" customFormat="1" ht="71.45" customHeight="1" x14ac:dyDescent="0.2">
      <c r="A61" s="670"/>
      <c r="B61" s="667"/>
      <c r="C61" s="281"/>
      <c r="D61" s="283"/>
      <c r="E61" s="283"/>
      <c r="F61" s="283"/>
      <c r="G61" s="292"/>
      <c r="H61" s="293"/>
      <c r="I61" s="306" t="s">
        <v>39</v>
      </c>
      <c r="J61" s="294">
        <v>61511.71</v>
      </c>
      <c r="K61" s="583"/>
      <c r="L61" s="583"/>
      <c r="M61" s="296">
        <v>61511.71</v>
      </c>
      <c r="N61" s="616"/>
      <c r="O61" s="580"/>
      <c r="P61" s="616"/>
      <c r="Q61" s="585"/>
      <c r="R61" s="588"/>
      <c r="S61" s="328" t="s">
        <v>40</v>
      </c>
      <c r="T61" s="299">
        <v>42100</v>
      </c>
      <c r="U61" s="299">
        <v>42130</v>
      </c>
      <c r="V61" s="283"/>
      <c r="W61" s="301">
        <v>1</v>
      </c>
      <c r="X61" s="278"/>
      <c r="Y61" s="626"/>
      <c r="Z61" s="620"/>
      <c r="AD61" s="337"/>
    </row>
    <row r="62" spans="1:30" s="304" customFormat="1" ht="24.75" customHeight="1" x14ac:dyDescent="0.2">
      <c r="A62" s="670"/>
      <c r="B62" s="667"/>
      <c r="C62" s="281"/>
      <c r="D62" s="283"/>
      <c r="E62" s="283"/>
      <c r="F62" s="283"/>
      <c r="G62" s="292"/>
      <c r="H62" s="293"/>
      <c r="I62" s="312" t="s">
        <v>218</v>
      </c>
      <c r="J62" s="294">
        <v>497000</v>
      </c>
      <c r="K62" s="583"/>
      <c r="L62" s="583"/>
      <c r="M62" s="296">
        <v>497000</v>
      </c>
      <c r="N62" s="616"/>
      <c r="O62" s="580"/>
      <c r="P62" s="616"/>
      <c r="Q62" s="585"/>
      <c r="R62" s="588"/>
      <c r="S62" s="275"/>
      <c r="T62" s="308"/>
      <c r="U62" s="299"/>
      <c r="V62" s="283"/>
      <c r="W62" s="301"/>
      <c r="X62" s="278"/>
      <c r="Y62" s="626"/>
      <c r="Z62" s="620"/>
    </row>
    <row r="63" spans="1:30" s="304" customFormat="1" ht="27" customHeight="1" x14ac:dyDescent="0.2">
      <c r="A63" s="670"/>
      <c r="B63" s="667"/>
      <c r="C63" s="281"/>
      <c r="D63" s="283"/>
      <c r="E63" s="283"/>
      <c r="F63" s="283"/>
      <c r="G63" s="292"/>
      <c r="H63" s="293"/>
      <c r="I63" s="306" t="s">
        <v>219</v>
      </c>
      <c r="J63" s="294">
        <v>143581.54999999999</v>
      </c>
      <c r="K63" s="583"/>
      <c r="L63" s="583"/>
      <c r="M63" s="296">
        <v>143581.54999999999</v>
      </c>
      <c r="N63" s="616"/>
      <c r="O63" s="580"/>
      <c r="P63" s="616"/>
      <c r="Q63" s="585"/>
      <c r="R63" s="588"/>
      <c r="S63" s="275"/>
      <c r="T63" s="308"/>
      <c r="U63" s="299"/>
      <c r="V63" s="283"/>
      <c r="W63" s="301"/>
      <c r="X63" s="278"/>
      <c r="Y63" s="626"/>
      <c r="Z63" s="620"/>
    </row>
    <row r="64" spans="1:30" s="304" customFormat="1" ht="24.75" customHeight="1" x14ac:dyDescent="0.2">
      <c r="A64" s="670"/>
      <c r="B64" s="667"/>
      <c r="C64" s="281"/>
      <c r="D64" s="283"/>
      <c r="E64" s="283"/>
      <c r="F64" s="283"/>
      <c r="G64" s="292"/>
      <c r="H64" s="293"/>
      <c r="I64" s="306" t="s">
        <v>220</v>
      </c>
      <c r="J64" s="294">
        <v>6377.47</v>
      </c>
      <c r="K64" s="583"/>
      <c r="L64" s="583"/>
      <c r="M64" s="296">
        <v>6377.47</v>
      </c>
      <c r="N64" s="616"/>
      <c r="O64" s="580"/>
      <c r="P64" s="616"/>
      <c r="Q64" s="585"/>
      <c r="R64" s="588"/>
      <c r="S64" s="342"/>
      <c r="T64" s="308"/>
      <c r="U64" s="299"/>
      <c r="V64" s="283"/>
      <c r="W64" s="301"/>
      <c r="X64" s="278"/>
      <c r="Y64" s="626"/>
      <c r="Z64" s="620"/>
    </row>
    <row r="65" spans="1:26" s="304" customFormat="1" ht="75.75" customHeight="1" x14ac:dyDescent="0.2">
      <c r="A65" s="671"/>
      <c r="B65" s="672"/>
      <c r="C65" s="281"/>
      <c r="D65" s="283"/>
      <c r="E65" s="283"/>
      <c r="F65" s="283"/>
      <c r="G65" s="292"/>
      <c r="H65" s="293"/>
      <c r="I65" s="283" t="s">
        <v>238</v>
      </c>
      <c r="J65" s="294">
        <v>113177.06</v>
      </c>
      <c r="K65" s="584"/>
      <c r="L65" s="584"/>
      <c r="M65" s="296">
        <v>113177.06</v>
      </c>
      <c r="N65" s="617"/>
      <c r="O65" s="581"/>
      <c r="P65" s="617"/>
      <c r="Q65" s="585"/>
      <c r="R65" s="718"/>
      <c r="S65" s="275" t="s">
        <v>252</v>
      </c>
      <c r="T65" s="308"/>
      <c r="U65" s="299"/>
      <c r="V65" s="283"/>
      <c r="W65" s="301">
        <v>1</v>
      </c>
      <c r="X65" s="278"/>
      <c r="Y65" s="636"/>
      <c r="Z65" s="620"/>
    </row>
    <row r="66" spans="1:26" s="304" customFormat="1" ht="33.75" customHeight="1" x14ac:dyDescent="0.2">
      <c r="A66" s="669">
        <v>9</v>
      </c>
      <c r="B66" s="666" t="s">
        <v>79</v>
      </c>
      <c r="C66" s="659">
        <v>1987</v>
      </c>
      <c r="D66" s="649" t="s">
        <v>75</v>
      </c>
      <c r="E66" s="649">
        <v>9</v>
      </c>
      <c r="F66" s="649">
        <v>4</v>
      </c>
      <c r="G66" s="677">
        <v>5480.5</v>
      </c>
      <c r="H66" s="653">
        <v>227</v>
      </c>
      <c r="I66" s="306" t="s">
        <v>57</v>
      </c>
      <c r="J66" s="294">
        <v>788966.03</v>
      </c>
      <c r="K66" s="582">
        <f>J66+J68+J67+J69+J70+J71+J72+J73</f>
        <v>7350000</v>
      </c>
      <c r="L66" s="582">
        <f>SUM(J66:J73)</f>
        <v>7349999.9999999991</v>
      </c>
      <c r="M66" s="294">
        <v>788966.03</v>
      </c>
      <c r="N66" s="748">
        <v>7350000</v>
      </c>
      <c r="O66" s="579">
        <v>0</v>
      </c>
      <c r="P66" s="684">
        <v>7350000</v>
      </c>
      <c r="Q66" s="585">
        <v>0</v>
      </c>
      <c r="R66" s="684">
        <v>0</v>
      </c>
      <c r="S66" s="719" t="s">
        <v>80</v>
      </c>
      <c r="T66" s="650">
        <v>41957</v>
      </c>
      <c r="U66" s="650">
        <v>42077</v>
      </c>
      <c r="V66" s="654" t="s">
        <v>77</v>
      </c>
      <c r="W66" s="301">
        <v>1</v>
      </c>
      <c r="X66" s="279"/>
      <c r="Y66" s="711">
        <v>0.98</v>
      </c>
      <c r="Z66" s="619"/>
    </row>
    <row r="67" spans="1:26" s="304" customFormat="1" ht="35.25" customHeight="1" x14ac:dyDescent="0.2">
      <c r="A67" s="670"/>
      <c r="B67" s="667"/>
      <c r="C67" s="659"/>
      <c r="D67" s="649"/>
      <c r="E67" s="649"/>
      <c r="F67" s="649"/>
      <c r="G67" s="677"/>
      <c r="H67" s="653"/>
      <c r="I67" s="306" t="s">
        <v>67</v>
      </c>
      <c r="J67" s="294">
        <v>62712.45</v>
      </c>
      <c r="K67" s="583"/>
      <c r="L67" s="583"/>
      <c r="M67" s="294">
        <v>62712.45</v>
      </c>
      <c r="N67" s="716"/>
      <c r="O67" s="580"/>
      <c r="P67" s="588"/>
      <c r="Q67" s="585"/>
      <c r="R67" s="588"/>
      <c r="S67" s="719"/>
      <c r="T67" s="650"/>
      <c r="U67" s="650"/>
      <c r="V67" s="654"/>
      <c r="W67" s="301">
        <v>1</v>
      </c>
      <c r="X67" s="279"/>
      <c r="Y67" s="712"/>
      <c r="Z67" s="620"/>
    </row>
    <row r="68" spans="1:26" s="304" customFormat="1" ht="73.5" customHeight="1" x14ac:dyDescent="0.2">
      <c r="A68" s="670"/>
      <c r="B68" s="667"/>
      <c r="C68" s="659"/>
      <c r="D68" s="649"/>
      <c r="E68" s="649"/>
      <c r="F68" s="649"/>
      <c r="G68" s="677"/>
      <c r="H68" s="653"/>
      <c r="I68" s="306" t="s">
        <v>48</v>
      </c>
      <c r="J68" s="294">
        <v>5676720.7999999998</v>
      </c>
      <c r="K68" s="583"/>
      <c r="L68" s="583"/>
      <c r="M68" s="294">
        <v>5676720.7999999998</v>
      </c>
      <c r="N68" s="716"/>
      <c r="O68" s="580"/>
      <c r="P68" s="588"/>
      <c r="Q68" s="585"/>
      <c r="R68" s="588"/>
      <c r="S68" s="278" t="s">
        <v>289</v>
      </c>
      <c r="T68" s="318">
        <v>41967</v>
      </c>
      <c r="U68" s="318">
        <v>42063</v>
      </c>
      <c r="V68" s="654"/>
      <c r="W68" s="301">
        <v>1</v>
      </c>
      <c r="X68" s="279"/>
      <c r="Y68" s="712"/>
      <c r="Z68" s="620"/>
    </row>
    <row r="69" spans="1:26" s="304" customFormat="1" ht="68.25" customHeight="1" x14ac:dyDescent="0.2">
      <c r="A69" s="670"/>
      <c r="B69" s="667"/>
      <c r="C69" s="281"/>
      <c r="D69" s="283"/>
      <c r="E69" s="283"/>
      <c r="F69" s="283"/>
      <c r="G69" s="292"/>
      <c r="H69" s="293"/>
      <c r="I69" s="306" t="s">
        <v>39</v>
      </c>
      <c r="J69" s="294">
        <v>61511.71</v>
      </c>
      <c r="K69" s="583"/>
      <c r="L69" s="583"/>
      <c r="M69" s="294">
        <v>61511.71</v>
      </c>
      <c r="N69" s="716"/>
      <c r="O69" s="580"/>
      <c r="P69" s="588"/>
      <c r="Q69" s="585"/>
      <c r="R69" s="588"/>
      <c r="S69" s="328" t="s">
        <v>40</v>
      </c>
      <c r="T69" s="299">
        <v>42100</v>
      </c>
      <c r="U69" s="299">
        <v>42130</v>
      </c>
      <c r="V69" s="283"/>
      <c r="W69" s="301">
        <v>1</v>
      </c>
      <c r="X69" s="279"/>
      <c r="Y69" s="712"/>
      <c r="Z69" s="620"/>
    </row>
    <row r="70" spans="1:26" s="304" customFormat="1" ht="30" customHeight="1" x14ac:dyDescent="0.2">
      <c r="A70" s="670"/>
      <c r="B70" s="667"/>
      <c r="C70" s="281"/>
      <c r="D70" s="283"/>
      <c r="E70" s="283"/>
      <c r="F70" s="283"/>
      <c r="G70" s="292"/>
      <c r="H70" s="293"/>
      <c r="I70" s="312" t="s">
        <v>218</v>
      </c>
      <c r="J70" s="294">
        <v>497000</v>
      </c>
      <c r="K70" s="583"/>
      <c r="L70" s="583"/>
      <c r="M70" s="294">
        <v>497000</v>
      </c>
      <c r="N70" s="716"/>
      <c r="O70" s="580"/>
      <c r="P70" s="588"/>
      <c r="Q70" s="585"/>
      <c r="R70" s="588"/>
      <c r="S70" s="275"/>
      <c r="T70" s="308"/>
      <c r="U70" s="299"/>
      <c r="V70" s="283"/>
      <c r="W70" s="301"/>
      <c r="X70" s="279"/>
      <c r="Y70" s="712"/>
      <c r="Z70" s="620"/>
    </row>
    <row r="71" spans="1:26" s="304" customFormat="1" ht="27" customHeight="1" x14ac:dyDescent="0.2">
      <c r="A71" s="670"/>
      <c r="B71" s="667"/>
      <c r="C71" s="281"/>
      <c r="D71" s="283"/>
      <c r="E71" s="283"/>
      <c r="F71" s="283"/>
      <c r="G71" s="292"/>
      <c r="H71" s="293"/>
      <c r="I71" s="306" t="s">
        <v>219</v>
      </c>
      <c r="J71" s="294">
        <v>143581.54999999999</v>
      </c>
      <c r="K71" s="583"/>
      <c r="L71" s="583"/>
      <c r="M71" s="294">
        <v>143581.54999999999</v>
      </c>
      <c r="N71" s="716"/>
      <c r="O71" s="580"/>
      <c r="P71" s="588"/>
      <c r="Q71" s="585"/>
      <c r="R71" s="588"/>
      <c r="S71" s="275"/>
      <c r="T71" s="308"/>
      <c r="U71" s="299"/>
      <c r="V71" s="283"/>
      <c r="W71" s="301"/>
      <c r="X71" s="279"/>
      <c r="Y71" s="712"/>
      <c r="Z71" s="620"/>
    </row>
    <row r="72" spans="1:26" s="304" customFormat="1" ht="34.5" customHeight="1" x14ac:dyDescent="0.2">
      <c r="A72" s="670"/>
      <c r="B72" s="667"/>
      <c r="C72" s="281"/>
      <c r="D72" s="283"/>
      <c r="E72" s="283"/>
      <c r="F72" s="283"/>
      <c r="G72" s="292"/>
      <c r="H72" s="293"/>
      <c r="I72" s="306" t="s">
        <v>220</v>
      </c>
      <c r="J72" s="294">
        <v>6377.47</v>
      </c>
      <c r="K72" s="583"/>
      <c r="L72" s="583"/>
      <c r="M72" s="294">
        <v>6377.47</v>
      </c>
      <c r="N72" s="716"/>
      <c r="O72" s="580"/>
      <c r="P72" s="588"/>
      <c r="Q72" s="585"/>
      <c r="R72" s="588"/>
      <c r="S72" s="275"/>
      <c r="T72" s="308"/>
      <c r="U72" s="299"/>
      <c r="V72" s="283"/>
      <c r="W72" s="301"/>
      <c r="X72" s="279"/>
      <c r="Y72" s="712"/>
      <c r="Z72" s="620"/>
    </row>
    <row r="73" spans="1:26" s="304" customFormat="1" ht="78" customHeight="1" x14ac:dyDescent="0.2">
      <c r="A73" s="671"/>
      <c r="B73" s="672"/>
      <c r="C73" s="281"/>
      <c r="D73" s="283"/>
      <c r="E73" s="283"/>
      <c r="F73" s="283"/>
      <c r="G73" s="292"/>
      <c r="H73" s="293"/>
      <c r="I73" s="283" t="s">
        <v>238</v>
      </c>
      <c r="J73" s="343">
        <v>113129.99</v>
      </c>
      <c r="K73" s="584"/>
      <c r="L73" s="584"/>
      <c r="M73" s="294">
        <v>113129.99</v>
      </c>
      <c r="N73" s="717"/>
      <c r="O73" s="581"/>
      <c r="P73" s="685"/>
      <c r="Q73" s="585"/>
      <c r="R73" s="718"/>
      <c r="S73" s="275" t="s">
        <v>252</v>
      </c>
      <c r="T73" s="299"/>
      <c r="U73" s="299"/>
      <c r="V73" s="283"/>
      <c r="W73" s="301">
        <v>1</v>
      </c>
      <c r="X73" s="278"/>
      <c r="Y73" s="713"/>
      <c r="Z73" s="621"/>
    </row>
    <row r="74" spans="1:26" s="304" customFormat="1" ht="39.75" customHeight="1" x14ac:dyDescent="0.2">
      <c r="A74" s="669">
        <v>10</v>
      </c>
      <c r="B74" s="666" t="s">
        <v>82</v>
      </c>
      <c r="C74" s="659">
        <v>1974</v>
      </c>
      <c r="D74" s="649" t="s">
        <v>83</v>
      </c>
      <c r="E74" s="649">
        <v>9</v>
      </c>
      <c r="F74" s="649">
        <v>3</v>
      </c>
      <c r="G74" s="677">
        <v>8424</v>
      </c>
      <c r="H74" s="653">
        <v>264</v>
      </c>
      <c r="I74" s="283" t="s">
        <v>57</v>
      </c>
      <c r="J74" s="294">
        <v>2079000</v>
      </c>
      <c r="K74" s="582">
        <f>J74+J75+J76+J77+J78+J79+J80</f>
        <v>6091947</v>
      </c>
      <c r="L74" s="582">
        <f>SUM(J74:J80)</f>
        <v>6091947</v>
      </c>
      <c r="M74" s="294">
        <v>2079000</v>
      </c>
      <c r="N74" s="618">
        <f>M74+M75+M76+M77+M78+M79+M80</f>
        <v>6091947</v>
      </c>
      <c r="O74" s="579">
        <v>0</v>
      </c>
      <c r="P74" s="587">
        <v>6091947</v>
      </c>
      <c r="Q74" s="585">
        <f>K74-L74</f>
        <v>0</v>
      </c>
      <c r="R74" s="684">
        <v>0</v>
      </c>
      <c r="S74" s="689" t="s">
        <v>84</v>
      </c>
      <c r="T74" s="708">
        <v>41956</v>
      </c>
      <c r="U74" s="318">
        <v>42063</v>
      </c>
      <c r="V74" s="654" t="s">
        <v>85</v>
      </c>
      <c r="W74" s="301">
        <v>1</v>
      </c>
      <c r="X74" s="278"/>
      <c r="Y74" s="625">
        <f>AVERAGE(W74:W77)</f>
        <v>1</v>
      </c>
      <c r="Z74" s="619" t="s">
        <v>217</v>
      </c>
    </row>
    <row r="75" spans="1:26" s="304" customFormat="1" ht="32.25" customHeight="1" x14ac:dyDescent="0.2">
      <c r="A75" s="670"/>
      <c r="B75" s="667"/>
      <c r="C75" s="659"/>
      <c r="D75" s="649"/>
      <c r="E75" s="649"/>
      <c r="F75" s="649"/>
      <c r="G75" s="677"/>
      <c r="H75" s="653"/>
      <c r="I75" s="306" t="s">
        <v>37</v>
      </c>
      <c r="J75" s="294">
        <v>315106</v>
      </c>
      <c r="K75" s="583"/>
      <c r="L75" s="583"/>
      <c r="M75" s="294">
        <v>315106</v>
      </c>
      <c r="N75" s="610"/>
      <c r="O75" s="580"/>
      <c r="P75" s="588"/>
      <c r="Q75" s="585"/>
      <c r="R75" s="588"/>
      <c r="S75" s="689"/>
      <c r="T75" s="708"/>
      <c r="U75" s="318">
        <v>42063</v>
      </c>
      <c r="V75" s="654"/>
      <c r="W75" s="301">
        <v>1</v>
      </c>
      <c r="X75" s="278"/>
      <c r="Y75" s="626"/>
      <c r="Z75" s="620"/>
    </row>
    <row r="76" spans="1:26" s="304" customFormat="1" ht="27" customHeight="1" x14ac:dyDescent="0.2">
      <c r="A76" s="670"/>
      <c r="B76" s="667"/>
      <c r="C76" s="659"/>
      <c r="D76" s="649"/>
      <c r="E76" s="649"/>
      <c r="F76" s="649"/>
      <c r="G76" s="677"/>
      <c r="H76" s="653"/>
      <c r="I76" s="306" t="s">
        <v>35</v>
      </c>
      <c r="J76" s="294">
        <v>1010684</v>
      </c>
      <c r="K76" s="583"/>
      <c r="L76" s="583"/>
      <c r="M76" s="294">
        <v>1010684</v>
      </c>
      <c r="N76" s="610"/>
      <c r="O76" s="580"/>
      <c r="P76" s="588"/>
      <c r="Q76" s="585"/>
      <c r="R76" s="588"/>
      <c r="S76" s="689"/>
      <c r="T76" s="708"/>
      <c r="U76" s="299">
        <v>42050</v>
      </c>
      <c r="V76" s="654"/>
      <c r="W76" s="301">
        <v>1</v>
      </c>
      <c r="X76" s="278"/>
      <c r="Y76" s="626"/>
      <c r="Z76" s="620"/>
    </row>
    <row r="77" spans="1:26" s="324" customFormat="1" ht="82.15" customHeight="1" x14ac:dyDescent="0.2">
      <c r="A77" s="670"/>
      <c r="B77" s="667"/>
      <c r="C77" s="659"/>
      <c r="D77" s="649"/>
      <c r="E77" s="649"/>
      <c r="F77" s="649"/>
      <c r="G77" s="677"/>
      <c r="H77" s="653"/>
      <c r="I77" s="283" t="s">
        <v>43</v>
      </c>
      <c r="J77" s="294">
        <v>2544797</v>
      </c>
      <c r="K77" s="583"/>
      <c r="L77" s="583"/>
      <c r="M77" s="294">
        <v>2544797</v>
      </c>
      <c r="N77" s="610"/>
      <c r="O77" s="580"/>
      <c r="P77" s="588"/>
      <c r="Q77" s="585"/>
      <c r="R77" s="588"/>
      <c r="S77" s="286" t="s">
        <v>86</v>
      </c>
      <c r="T77" s="329"/>
      <c r="U77" s="299">
        <v>42050</v>
      </c>
      <c r="V77" s="654"/>
      <c r="W77" s="301">
        <v>1</v>
      </c>
      <c r="X77" s="278"/>
      <c r="Y77" s="626"/>
      <c r="Z77" s="620"/>
    </row>
    <row r="78" spans="1:26" s="324" customFormat="1" ht="69.2" customHeight="1" x14ac:dyDescent="0.2">
      <c r="A78" s="670"/>
      <c r="B78" s="667"/>
      <c r="C78" s="281"/>
      <c r="D78" s="283"/>
      <c r="E78" s="283"/>
      <c r="F78" s="283"/>
      <c r="G78" s="292"/>
      <c r="H78" s="293"/>
      <c r="I78" s="306" t="s">
        <v>39</v>
      </c>
      <c r="J78" s="294">
        <v>5000.0200000000004</v>
      </c>
      <c r="K78" s="583"/>
      <c r="L78" s="583"/>
      <c r="M78" s="294">
        <v>5000.0200000000004</v>
      </c>
      <c r="N78" s="610"/>
      <c r="O78" s="580"/>
      <c r="P78" s="588"/>
      <c r="Q78" s="585"/>
      <c r="R78" s="588"/>
      <c r="S78" s="278" t="s">
        <v>40</v>
      </c>
      <c r="T78" s="299">
        <v>42100</v>
      </c>
      <c r="U78" s="299">
        <v>42130</v>
      </c>
      <c r="V78" s="283"/>
      <c r="W78" s="301">
        <v>1</v>
      </c>
      <c r="X78" s="278"/>
      <c r="Y78" s="626"/>
      <c r="Z78" s="620"/>
    </row>
    <row r="79" spans="1:26" s="324" customFormat="1" ht="30" customHeight="1" x14ac:dyDescent="0.2">
      <c r="A79" s="670"/>
      <c r="B79" s="667"/>
      <c r="C79" s="281"/>
      <c r="D79" s="283"/>
      <c r="E79" s="283"/>
      <c r="F79" s="283"/>
      <c r="G79" s="292"/>
      <c r="H79" s="293"/>
      <c r="I79" s="306" t="s">
        <v>219</v>
      </c>
      <c r="J79" s="294">
        <v>127428.16</v>
      </c>
      <c r="K79" s="583"/>
      <c r="L79" s="583"/>
      <c r="M79" s="294">
        <v>127428.16</v>
      </c>
      <c r="N79" s="610"/>
      <c r="O79" s="580"/>
      <c r="P79" s="588"/>
      <c r="Q79" s="585"/>
      <c r="R79" s="588"/>
      <c r="S79" s="279" t="s">
        <v>32</v>
      </c>
      <c r="T79" s="299"/>
      <c r="U79" s="308"/>
      <c r="V79" s="283"/>
      <c r="W79" s="301"/>
      <c r="X79" s="278"/>
      <c r="Y79" s="626"/>
      <c r="Z79" s="620"/>
    </row>
    <row r="80" spans="1:26" s="324" customFormat="1" ht="30" customHeight="1" x14ac:dyDescent="0.2">
      <c r="A80" s="671"/>
      <c r="B80" s="672"/>
      <c r="C80" s="281"/>
      <c r="D80" s="283"/>
      <c r="E80" s="283"/>
      <c r="F80" s="283"/>
      <c r="G80" s="292"/>
      <c r="H80" s="293"/>
      <c r="I80" s="306" t="s">
        <v>220</v>
      </c>
      <c r="J80" s="294">
        <v>9931.82</v>
      </c>
      <c r="K80" s="584"/>
      <c r="L80" s="584"/>
      <c r="M80" s="294">
        <v>9931.82</v>
      </c>
      <c r="N80" s="610"/>
      <c r="O80" s="580"/>
      <c r="P80" s="588"/>
      <c r="Q80" s="579"/>
      <c r="R80" s="588"/>
      <c r="S80" s="335"/>
      <c r="T80" s="344"/>
      <c r="U80" s="308"/>
      <c r="V80" s="283"/>
      <c r="W80" s="301"/>
      <c r="X80" s="278"/>
      <c r="Y80" s="628"/>
      <c r="Z80" s="620"/>
    </row>
    <row r="81" spans="1:29" s="346" customFormat="1" ht="35.25" customHeight="1" x14ac:dyDescent="0.2">
      <c r="A81" s="669">
        <v>11</v>
      </c>
      <c r="B81" s="666" t="s">
        <v>87</v>
      </c>
      <c r="C81" s="659">
        <v>1966</v>
      </c>
      <c r="D81" s="649" t="s">
        <v>88</v>
      </c>
      <c r="E81" s="649">
        <v>5</v>
      </c>
      <c r="F81" s="649">
        <v>4</v>
      </c>
      <c r="G81" s="677">
        <v>3524.2</v>
      </c>
      <c r="H81" s="653">
        <v>145</v>
      </c>
      <c r="I81" s="283" t="s">
        <v>29</v>
      </c>
      <c r="J81" s="294">
        <v>270824.61</v>
      </c>
      <c r="K81" s="582">
        <f>J81+J82+J83+J84+J85+J88+J89+J90+J87+J86</f>
        <v>5000000</v>
      </c>
      <c r="L81" s="582">
        <f>SUM(J81:J90)</f>
        <v>5000000</v>
      </c>
      <c r="M81" s="296">
        <v>270824.61</v>
      </c>
      <c r="N81" s="585">
        <f>M81+M82+M83+M84+M85+M86+M87+M88+M89+M90</f>
        <v>5000000</v>
      </c>
      <c r="O81" s="585">
        <v>0</v>
      </c>
      <c r="P81" s="585">
        <v>5000000</v>
      </c>
      <c r="Q81" s="585">
        <f>SUM(P84)</f>
        <v>0</v>
      </c>
      <c r="R81" s="585">
        <v>0</v>
      </c>
      <c r="S81" s="674" t="s">
        <v>89</v>
      </c>
      <c r="T81" s="673">
        <v>41929</v>
      </c>
      <c r="U81" s="308">
        <v>42050</v>
      </c>
      <c r="V81" s="654" t="s">
        <v>90</v>
      </c>
      <c r="W81" s="301">
        <v>1</v>
      </c>
      <c r="X81" s="278"/>
      <c r="Y81" s="625">
        <f>AVERAGE(W81:W85)</f>
        <v>1</v>
      </c>
      <c r="Z81" s="619" t="s">
        <v>217</v>
      </c>
    </row>
    <row r="82" spans="1:29" s="346" customFormat="1" ht="33.75" customHeight="1" x14ac:dyDescent="0.2">
      <c r="A82" s="670"/>
      <c r="B82" s="667"/>
      <c r="C82" s="659"/>
      <c r="D82" s="649"/>
      <c r="E82" s="649"/>
      <c r="F82" s="649"/>
      <c r="G82" s="677"/>
      <c r="H82" s="653"/>
      <c r="I82" s="306" t="s">
        <v>64</v>
      </c>
      <c r="J82" s="294">
        <v>190903.12</v>
      </c>
      <c r="K82" s="583"/>
      <c r="L82" s="583"/>
      <c r="M82" s="296">
        <v>190903.12</v>
      </c>
      <c r="N82" s="585"/>
      <c r="O82" s="589"/>
      <c r="P82" s="585"/>
      <c r="Q82" s="585"/>
      <c r="R82" s="585"/>
      <c r="S82" s="674"/>
      <c r="T82" s="673"/>
      <c r="U82" s="308">
        <v>42050</v>
      </c>
      <c r="V82" s="654"/>
      <c r="W82" s="301">
        <v>1</v>
      </c>
      <c r="X82" s="278"/>
      <c r="Y82" s="626"/>
      <c r="Z82" s="620"/>
    </row>
    <row r="83" spans="1:29" s="346" customFormat="1" ht="35.25" customHeight="1" x14ac:dyDescent="0.2">
      <c r="A83" s="670"/>
      <c r="B83" s="667"/>
      <c r="C83" s="659"/>
      <c r="D83" s="649"/>
      <c r="E83" s="649"/>
      <c r="F83" s="649"/>
      <c r="G83" s="677"/>
      <c r="H83" s="653"/>
      <c r="I83" s="306" t="s">
        <v>37</v>
      </c>
      <c r="J83" s="294">
        <v>1764043.57</v>
      </c>
      <c r="K83" s="583"/>
      <c r="L83" s="583"/>
      <c r="M83" s="296">
        <v>1764043.57</v>
      </c>
      <c r="N83" s="585"/>
      <c r="O83" s="589"/>
      <c r="P83" s="585"/>
      <c r="Q83" s="585"/>
      <c r="R83" s="585"/>
      <c r="S83" s="674"/>
      <c r="T83" s="673"/>
      <c r="U83" s="308">
        <v>42050</v>
      </c>
      <c r="V83" s="654"/>
      <c r="W83" s="301">
        <v>1</v>
      </c>
      <c r="X83" s="278"/>
      <c r="Y83" s="626"/>
      <c r="Z83" s="620"/>
    </row>
    <row r="84" spans="1:29" s="346" customFormat="1" ht="35.25" customHeight="1" x14ac:dyDescent="0.2">
      <c r="A84" s="670"/>
      <c r="B84" s="667"/>
      <c r="C84" s="659"/>
      <c r="D84" s="649"/>
      <c r="E84" s="649"/>
      <c r="F84" s="649"/>
      <c r="G84" s="677"/>
      <c r="H84" s="653"/>
      <c r="I84" s="306" t="s">
        <v>67</v>
      </c>
      <c r="J84" s="294">
        <v>211821.66</v>
      </c>
      <c r="K84" s="583"/>
      <c r="L84" s="583"/>
      <c r="M84" s="296">
        <v>211821.66</v>
      </c>
      <c r="N84" s="585"/>
      <c r="O84" s="589"/>
      <c r="P84" s="585"/>
      <c r="Q84" s="585"/>
      <c r="R84" s="585"/>
      <c r="S84" s="674"/>
      <c r="T84" s="673"/>
      <c r="U84" s="308">
        <v>42050</v>
      </c>
      <c r="V84" s="654"/>
      <c r="W84" s="301">
        <v>1</v>
      </c>
      <c r="X84" s="278"/>
      <c r="Y84" s="626"/>
      <c r="Z84" s="620"/>
    </row>
    <row r="85" spans="1:29" s="346" customFormat="1" ht="45" customHeight="1" x14ac:dyDescent="0.2">
      <c r="A85" s="670"/>
      <c r="B85" s="667"/>
      <c r="C85" s="659"/>
      <c r="D85" s="649"/>
      <c r="E85" s="649"/>
      <c r="F85" s="649"/>
      <c r="G85" s="677"/>
      <c r="H85" s="653"/>
      <c r="I85" s="306" t="s">
        <v>43</v>
      </c>
      <c r="J85" s="294">
        <v>367136.74</v>
      </c>
      <c r="K85" s="583"/>
      <c r="L85" s="583"/>
      <c r="M85" s="296">
        <v>367136.74</v>
      </c>
      <c r="N85" s="585"/>
      <c r="O85" s="589"/>
      <c r="P85" s="585"/>
      <c r="Q85" s="585"/>
      <c r="R85" s="585"/>
      <c r="S85" s="275" t="s">
        <v>91</v>
      </c>
      <c r="T85" s="345">
        <v>41941</v>
      </c>
      <c r="U85" s="298">
        <v>42063</v>
      </c>
      <c r="V85" s="654"/>
      <c r="W85" s="301">
        <v>1</v>
      </c>
      <c r="X85" s="278"/>
      <c r="Y85" s="626"/>
      <c r="Z85" s="620"/>
    </row>
    <row r="86" spans="1:29" s="346" customFormat="1" ht="45" customHeight="1" x14ac:dyDescent="0.2">
      <c r="A86" s="670"/>
      <c r="B86" s="667"/>
      <c r="C86" s="281"/>
      <c r="D86" s="283"/>
      <c r="E86" s="283"/>
      <c r="F86" s="283"/>
      <c r="G86" s="292"/>
      <c r="H86" s="293"/>
      <c r="I86" s="306" t="s">
        <v>225</v>
      </c>
      <c r="J86" s="294">
        <v>121268.09</v>
      </c>
      <c r="K86" s="583"/>
      <c r="L86" s="583"/>
      <c r="M86" s="296">
        <v>121268.09</v>
      </c>
      <c r="N86" s="585"/>
      <c r="O86" s="589"/>
      <c r="P86" s="585"/>
      <c r="Q86" s="585"/>
      <c r="R86" s="585"/>
      <c r="S86" s="275"/>
      <c r="T86" s="345"/>
      <c r="U86" s="298"/>
      <c r="V86" s="300"/>
      <c r="W86" s="301"/>
      <c r="X86" s="278"/>
      <c r="Y86" s="626"/>
      <c r="Z86" s="620"/>
    </row>
    <row r="87" spans="1:29" s="346" customFormat="1" ht="45" customHeight="1" x14ac:dyDescent="0.2">
      <c r="A87" s="670"/>
      <c r="B87" s="667"/>
      <c r="C87" s="281"/>
      <c r="D87" s="283"/>
      <c r="E87" s="283"/>
      <c r="F87" s="283"/>
      <c r="G87" s="292"/>
      <c r="H87" s="293"/>
      <c r="I87" s="306" t="s">
        <v>35</v>
      </c>
      <c r="J87" s="294">
        <v>1221010</v>
      </c>
      <c r="K87" s="583"/>
      <c r="L87" s="583"/>
      <c r="M87" s="296">
        <v>1221010</v>
      </c>
      <c r="N87" s="585"/>
      <c r="O87" s="589"/>
      <c r="P87" s="585"/>
      <c r="Q87" s="585"/>
      <c r="R87" s="585"/>
      <c r="S87" s="275"/>
      <c r="T87" s="345"/>
      <c r="U87" s="298"/>
      <c r="V87" s="300"/>
      <c r="W87" s="301"/>
      <c r="X87" s="278"/>
      <c r="Y87" s="626"/>
      <c r="Z87" s="620"/>
    </row>
    <row r="88" spans="1:29" s="346" customFormat="1" ht="45" customHeight="1" x14ac:dyDescent="0.2">
      <c r="A88" s="670"/>
      <c r="B88" s="667"/>
      <c r="C88" s="281"/>
      <c r="D88" s="283"/>
      <c r="E88" s="283"/>
      <c r="F88" s="283"/>
      <c r="G88" s="292"/>
      <c r="H88" s="293"/>
      <c r="I88" s="306" t="s">
        <v>92</v>
      </c>
      <c r="J88" s="294">
        <v>734531.42</v>
      </c>
      <c r="K88" s="583"/>
      <c r="L88" s="583"/>
      <c r="M88" s="296">
        <v>734531.42</v>
      </c>
      <c r="N88" s="585"/>
      <c r="O88" s="589"/>
      <c r="P88" s="585"/>
      <c r="Q88" s="585"/>
      <c r="R88" s="585"/>
      <c r="S88" s="275" t="s">
        <v>93</v>
      </c>
      <c r="T88" s="345">
        <v>42100</v>
      </c>
      <c r="U88" s="298">
        <v>42200</v>
      </c>
      <c r="V88" s="300"/>
      <c r="W88" s="301">
        <v>1</v>
      </c>
      <c r="X88" s="278"/>
      <c r="Y88" s="626"/>
      <c r="Z88" s="620"/>
    </row>
    <row r="89" spans="1:29" s="346" customFormat="1" ht="25.5" customHeight="1" x14ac:dyDescent="0.2">
      <c r="A89" s="670"/>
      <c r="B89" s="667"/>
      <c r="C89" s="281"/>
      <c r="D89" s="283"/>
      <c r="E89" s="283"/>
      <c r="F89" s="283"/>
      <c r="G89" s="292"/>
      <c r="H89" s="293"/>
      <c r="I89" s="293" t="s">
        <v>219</v>
      </c>
      <c r="J89" s="347">
        <v>104590.49</v>
      </c>
      <c r="K89" s="583"/>
      <c r="L89" s="583"/>
      <c r="M89" s="296">
        <v>104590.49</v>
      </c>
      <c r="N89" s="585"/>
      <c r="O89" s="589"/>
      <c r="P89" s="585"/>
      <c r="Q89" s="585"/>
      <c r="R89" s="585"/>
      <c r="S89" s="275"/>
      <c r="T89" s="334"/>
      <c r="U89" s="298"/>
      <c r="V89" s="300"/>
      <c r="W89" s="301"/>
      <c r="X89" s="278"/>
      <c r="Y89" s="626"/>
      <c r="Z89" s="620"/>
    </row>
    <row r="90" spans="1:29" s="346" customFormat="1" ht="26.25" customHeight="1" x14ac:dyDescent="0.2">
      <c r="A90" s="671"/>
      <c r="B90" s="672"/>
      <c r="C90" s="281"/>
      <c r="D90" s="283"/>
      <c r="E90" s="283"/>
      <c r="F90" s="283"/>
      <c r="G90" s="292"/>
      <c r="H90" s="293"/>
      <c r="I90" s="293" t="s">
        <v>220</v>
      </c>
      <c r="J90" s="347">
        <v>13870.3</v>
      </c>
      <c r="K90" s="584"/>
      <c r="L90" s="584"/>
      <c r="M90" s="339">
        <v>13870.3</v>
      </c>
      <c r="N90" s="585"/>
      <c r="O90" s="589"/>
      <c r="P90" s="585"/>
      <c r="Q90" s="585"/>
      <c r="R90" s="585"/>
      <c r="S90" s="275"/>
      <c r="T90" s="334"/>
      <c r="U90" s="298"/>
      <c r="V90" s="300"/>
      <c r="W90" s="301"/>
      <c r="X90" s="278"/>
      <c r="Y90" s="628"/>
      <c r="Z90" s="621"/>
    </row>
    <row r="91" spans="1:29" s="304" customFormat="1" ht="41.25" customHeight="1" x14ac:dyDescent="0.2">
      <c r="A91" s="669">
        <v>12</v>
      </c>
      <c r="B91" s="666" t="s">
        <v>94</v>
      </c>
      <c r="C91" s="659">
        <v>1987</v>
      </c>
      <c r="D91" s="649" t="s">
        <v>95</v>
      </c>
      <c r="E91" s="649">
        <v>9</v>
      </c>
      <c r="F91" s="649">
        <v>1</v>
      </c>
      <c r="G91" s="677">
        <v>5398.7</v>
      </c>
      <c r="H91" s="653">
        <v>236</v>
      </c>
      <c r="I91" s="283" t="s">
        <v>57</v>
      </c>
      <c r="J91" s="294">
        <v>375000</v>
      </c>
      <c r="K91" s="582">
        <v>2600000</v>
      </c>
      <c r="L91" s="715">
        <v>2600000</v>
      </c>
      <c r="M91" s="348">
        <f>188438.75+170604.8</f>
        <v>359043.55</v>
      </c>
      <c r="N91" s="579">
        <f>SUM(M91:M98)</f>
        <v>2594407.34</v>
      </c>
      <c r="O91" s="579">
        <v>0</v>
      </c>
      <c r="P91" s="579">
        <v>2594407.34</v>
      </c>
      <c r="Q91" s="579">
        <f>K91-N91</f>
        <v>5592.660000000149</v>
      </c>
      <c r="R91" s="579">
        <v>5592.66</v>
      </c>
      <c r="S91" s="349" t="s">
        <v>96</v>
      </c>
      <c r="T91" s="350">
        <v>41988</v>
      </c>
      <c r="U91" s="318">
        <v>42077</v>
      </c>
      <c r="V91" s="654" t="s">
        <v>97</v>
      </c>
      <c r="W91" s="301">
        <v>1</v>
      </c>
      <c r="X91" s="278"/>
      <c r="Y91" s="739"/>
      <c r="Z91" s="637" t="s">
        <v>239</v>
      </c>
    </row>
    <row r="92" spans="1:29" s="304" customFormat="1" ht="64.5" customHeight="1" x14ac:dyDescent="0.2">
      <c r="A92" s="670"/>
      <c r="B92" s="667"/>
      <c r="C92" s="659"/>
      <c r="D92" s="649"/>
      <c r="E92" s="649"/>
      <c r="F92" s="649"/>
      <c r="G92" s="677"/>
      <c r="H92" s="653"/>
      <c r="I92" s="306" t="s">
        <v>48</v>
      </c>
      <c r="J92" s="294">
        <v>1286818.1299999999</v>
      </c>
      <c r="K92" s="583"/>
      <c r="L92" s="716"/>
      <c r="M92" s="348">
        <v>1281225.47</v>
      </c>
      <c r="N92" s="616"/>
      <c r="O92" s="580"/>
      <c r="P92" s="616"/>
      <c r="Q92" s="616"/>
      <c r="R92" s="616"/>
      <c r="S92" s="351" t="s">
        <v>290</v>
      </c>
      <c r="T92" s="318">
        <v>41985</v>
      </c>
      <c r="U92" s="318">
        <v>42063</v>
      </c>
      <c r="V92" s="654"/>
      <c r="W92" s="301">
        <v>1</v>
      </c>
      <c r="X92" s="278"/>
      <c r="Y92" s="740"/>
      <c r="Z92" s="638"/>
    </row>
    <row r="93" spans="1:29" s="304" customFormat="1" ht="66.75" customHeight="1" x14ac:dyDescent="0.2">
      <c r="A93" s="670"/>
      <c r="B93" s="667"/>
      <c r="C93" s="659"/>
      <c r="D93" s="649"/>
      <c r="E93" s="649"/>
      <c r="F93" s="649"/>
      <c r="G93" s="292"/>
      <c r="H93" s="293"/>
      <c r="I93" s="306" t="s">
        <v>99</v>
      </c>
      <c r="J93" s="294">
        <v>622473.06000000006</v>
      </c>
      <c r="K93" s="583"/>
      <c r="L93" s="716"/>
      <c r="M93" s="348">
        <v>622473.06000000006</v>
      </c>
      <c r="N93" s="616"/>
      <c r="O93" s="580"/>
      <c r="P93" s="616"/>
      <c r="Q93" s="616"/>
      <c r="R93" s="616"/>
      <c r="S93" s="352" t="s">
        <v>100</v>
      </c>
      <c r="T93" s="344">
        <v>41927</v>
      </c>
      <c r="U93" s="318">
        <v>42050</v>
      </c>
      <c r="V93" s="300"/>
      <c r="W93" s="301">
        <v>1</v>
      </c>
      <c r="X93" s="278"/>
      <c r="Y93" s="740"/>
      <c r="Z93" s="638"/>
    </row>
    <row r="94" spans="1:29" s="304" customFormat="1" ht="63" customHeight="1" x14ac:dyDescent="0.2">
      <c r="A94" s="670"/>
      <c r="B94" s="667"/>
      <c r="C94" s="281"/>
      <c r="D94" s="283"/>
      <c r="E94" s="283"/>
      <c r="F94" s="283"/>
      <c r="G94" s="292"/>
      <c r="H94" s="293"/>
      <c r="I94" s="306" t="s">
        <v>39</v>
      </c>
      <c r="J94" s="294">
        <v>3656.84</v>
      </c>
      <c r="K94" s="583"/>
      <c r="L94" s="716"/>
      <c r="M94" s="348">
        <v>3656.84</v>
      </c>
      <c r="N94" s="616"/>
      <c r="O94" s="580"/>
      <c r="P94" s="616"/>
      <c r="Q94" s="616"/>
      <c r="R94" s="616"/>
      <c r="S94" s="353" t="s">
        <v>40</v>
      </c>
      <c r="T94" s="344">
        <v>42100</v>
      </c>
      <c r="U94" s="299">
        <v>42130</v>
      </c>
      <c r="V94" s="283"/>
      <c r="W94" s="301">
        <v>1</v>
      </c>
      <c r="X94" s="278"/>
      <c r="Y94" s="740"/>
      <c r="Z94" s="638"/>
      <c r="AC94" s="337"/>
    </row>
    <row r="95" spans="1:29" s="304" customFormat="1" ht="23.25" customHeight="1" x14ac:dyDescent="0.2">
      <c r="A95" s="670"/>
      <c r="B95" s="667"/>
      <c r="C95" s="281"/>
      <c r="D95" s="283"/>
      <c r="E95" s="283"/>
      <c r="F95" s="283"/>
      <c r="G95" s="292"/>
      <c r="H95" s="293"/>
      <c r="I95" s="312" t="s">
        <v>218</v>
      </c>
      <c r="J95" s="294">
        <v>253000</v>
      </c>
      <c r="K95" s="583"/>
      <c r="L95" s="716"/>
      <c r="M95" s="348">
        <v>253000</v>
      </c>
      <c r="N95" s="616"/>
      <c r="O95" s="580"/>
      <c r="P95" s="616"/>
      <c r="Q95" s="616"/>
      <c r="R95" s="616"/>
      <c r="S95" s="354"/>
      <c r="T95" s="355"/>
      <c r="U95" s="308"/>
      <c r="V95" s="283"/>
      <c r="W95" s="301"/>
      <c r="X95" s="278"/>
      <c r="Y95" s="740"/>
      <c r="Z95" s="638"/>
    </row>
    <row r="96" spans="1:29" s="304" customFormat="1" ht="24" customHeight="1" x14ac:dyDescent="0.2">
      <c r="A96" s="670"/>
      <c r="B96" s="667"/>
      <c r="C96" s="281"/>
      <c r="D96" s="283"/>
      <c r="E96" s="283"/>
      <c r="F96" s="283"/>
      <c r="G96" s="292"/>
      <c r="H96" s="293"/>
      <c r="I96" s="306" t="s">
        <v>219</v>
      </c>
      <c r="J96" s="294">
        <v>53563.09</v>
      </c>
      <c r="K96" s="583"/>
      <c r="L96" s="716"/>
      <c r="M96" s="348">
        <v>53563.09</v>
      </c>
      <c r="N96" s="616"/>
      <c r="O96" s="580"/>
      <c r="P96" s="616"/>
      <c r="Q96" s="616"/>
      <c r="R96" s="616"/>
      <c r="S96" s="354"/>
      <c r="T96" s="355"/>
      <c r="U96" s="308"/>
      <c r="V96" s="283"/>
      <c r="W96" s="301"/>
      <c r="X96" s="278"/>
      <c r="Y96" s="740"/>
      <c r="Z96" s="638"/>
    </row>
    <row r="97" spans="1:29" s="304" customFormat="1" ht="27.75" customHeight="1" x14ac:dyDescent="0.2">
      <c r="A97" s="670"/>
      <c r="B97" s="667"/>
      <c r="C97" s="281"/>
      <c r="D97" s="283"/>
      <c r="E97" s="283"/>
      <c r="F97" s="283"/>
      <c r="G97" s="292"/>
      <c r="H97" s="293"/>
      <c r="I97" s="306" t="s">
        <v>220</v>
      </c>
      <c r="J97" s="294">
        <v>5488.88</v>
      </c>
      <c r="K97" s="583"/>
      <c r="L97" s="716"/>
      <c r="M97" s="348">
        <v>5488.88</v>
      </c>
      <c r="N97" s="616"/>
      <c r="O97" s="580"/>
      <c r="P97" s="616"/>
      <c r="Q97" s="616"/>
      <c r="R97" s="616"/>
      <c r="S97" s="354"/>
      <c r="T97" s="355"/>
      <c r="U97" s="308"/>
      <c r="V97" s="283"/>
      <c r="W97" s="301"/>
      <c r="X97" s="278"/>
      <c r="Y97" s="740"/>
      <c r="Z97" s="639"/>
    </row>
    <row r="98" spans="1:29" s="304" customFormat="1" ht="63" customHeight="1" x14ac:dyDescent="0.2">
      <c r="A98" s="671"/>
      <c r="B98" s="672"/>
      <c r="C98" s="281"/>
      <c r="D98" s="283"/>
      <c r="E98" s="283"/>
      <c r="F98" s="283"/>
      <c r="G98" s="292"/>
      <c r="H98" s="293"/>
      <c r="I98" s="306" t="s">
        <v>286</v>
      </c>
      <c r="J98" s="294"/>
      <c r="K98" s="584"/>
      <c r="L98" s="717"/>
      <c r="M98" s="348">
        <v>15956.45</v>
      </c>
      <c r="N98" s="617"/>
      <c r="O98" s="581"/>
      <c r="P98" s="617"/>
      <c r="Q98" s="617"/>
      <c r="R98" s="617"/>
      <c r="S98" s="354"/>
      <c r="T98" s="355"/>
      <c r="U98" s="308"/>
      <c r="V98" s="283"/>
      <c r="W98" s="301">
        <v>0</v>
      </c>
      <c r="X98" s="278"/>
      <c r="Y98" s="627"/>
      <c r="Z98" s="303" t="s">
        <v>245</v>
      </c>
    </row>
    <row r="99" spans="1:29" s="304" customFormat="1" ht="33.75" customHeight="1" x14ac:dyDescent="0.2">
      <c r="A99" s="668">
        <v>13</v>
      </c>
      <c r="B99" s="653" t="s">
        <v>101</v>
      </c>
      <c r="C99" s="659">
        <v>1979</v>
      </c>
      <c r="D99" s="649" t="s">
        <v>102</v>
      </c>
      <c r="E99" s="649">
        <v>5</v>
      </c>
      <c r="F99" s="649">
        <v>11</v>
      </c>
      <c r="G99" s="677">
        <v>7478.28</v>
      </c>
      <c r="H99" s="653">
        <v>281</v>
      </c>
      <c r="I99" s="283" t="s">
        <v>57</v>
      </c>
      <c r="J99" s="294">
        <v>2445893.0099999998</v>
      </c>
      <c r="K99" s="590">
        <f>J99+J100+J103+J101+J102</f>
        <v>4999999.9999999991</v>
      </c>
      <c r="L99" s="590">
        <f>SUM(J99:J103)</f>
        <v>4999999.9999999991</v>
      </c>
      <c r="M99" s="330">
        <v>2445893.0099999998</v>
      </c>
      <c r="N99" s="584">
        <f>SUM(M99:M103)</f>
        <v>4732904.879999999</v>
      </c>
      <c r="O99" s="320"/>
      <c r="P99" s="609">
        <v>4338018.88</v>
      </c>
      <c r="Q99" s="585">
        <v>267095.12</v>
      </c>
      <c r="R99" s="684">
        <v>661981.12</v>
      </c>
      <c r="S99" s="674" t="s">
        <v>103</v>
      </c>
      <c r="T99" s="673">
        <v>41929</v>
      </c>
      <c r="U99" s="308">
        <v>42050</v>
      </c>
      <c r="V99" s="654" t="s">
        <v>104</v>
      </c>
      <c r="W99" s="301">
        <v>1</v>
      </c>
      <c r="X99" s="278"/>
      <c r="Y99" s="682"/>
      <c r="Z99" s="619" t="s">
        <v>240</v>
      </c>
    </row>
    <row r="100" spans="1:29" s="304" customFormat="1" ht="21.75" customHeight="1" x14ac:dyDescent="0.2">
      <c r="A100" s="668"/>
      <c r="B100" s="653"/>
      <c r="C100" s="659"/>
      <c r="D100" s="649"/>
      <c r="E100" s="649"/>
      <c r="F100" s="649"/>
      <c r="G100" s="677"/>
      <c r="H100" s="653"/>
      <c r="I100" s="283" t="s">
        <v>35</v>
      </c>
      <c r="J100" s="294">
        <v>2176009.84</v>
      </c>
      <c r="K100" s="590"/>
      <c r="L100" s="590"/>
      <c r="M100" s="294">
        <v>2176009.84</v>
      </c>
      <c r="N100" s="590"/>
      <c r="O100" s="322">
        <v>-394886</v>
      </c>
      <c r="P100" s="610"/>
      <c r="Q100" s="585"/>
      <c r="R100" s="588"/>
      <c r="S100" s="674"/>
      <c r="T100" s="673"/>
      <c r="U100" s="298">
        <v>42063</v>
      </c>
      <c r="V100" s="654"/>
      <c r="W100" s="301">
        <v>1</v>
      </c>
      <c r="X100" s="278"/>
      <c r="Y100" s="682"/>
      <c r="Z100" s="620"/>
    </row>
    <row r="101" spans="1:29" s="304" customFormat="1" ht="21.75" customHeight="1" x14ac:dyDescent="0.2">
      <c r="A101" s="668"/>
      <c r="B101" s="653"/>
      <c r="C101" s="659"/>
      <c r="D101" s="649"/>
      <c r="E101" s="649"/>
      <c r="F101" s="649"/>
      <c r="G101" s="677"/>
      <c r="H101" s="653"/>
      <c r="I101" s="283" t="s">
        <v>219</v>
      </c>
      <c r="J101" s="294">
        <v>104624.56</v>
      </c>
      <c r="K101" s="590"/>
      <c r="L101" s="590"/>
      <c r="M101" s="294">
        <v>104624.56</v>
      </c>
      <c r="N101" s="590"/>
      <c r="O101" s="322"/>
      <c r="P101" s="610"/>
      <c r="Q101" s="585"/>
      <c r="R101" s="588"/>
      <c r="S101" s="275"/>
      <c r="T101" s="345"/>
      <c r="U101" s="298"/>
      <c r="V101" s="654"/>
      <c r="W101" s="301"/>
      <c r="X101" s="278"/>
      <c r="Y101" s="682"/>
      <c r="Z101" s="620"/>
    </row>
    <row r="102" spans="1:29" s="304" customFormat="1" ht="21.75" customHeight="1" x14ac:dyDescent="0.2">
      <c r="A102" s="668"/>
      <c r="B102" s="653"/>
      <c r="C102" s="659"/>
      <c r="D102" s="649"/>
      <c r="E102" s="649"/>
      <c r="F102" s="649"/>
      <c r="G102" s="677"/>
      <c r="H102" s="653"/>
      <c r="I102" s="283" t="s">
        <v>220</v>
      </c>
      <c r="J102" s="294">
        <v>6377.47</v>
      </c>
      <c r="K102" s="590"/>
      <c r="L102" s="590"/>
      <c r="M102" s="294">
        <v>6377.47</v>
      </c>
      <c r="N102" s="590"/>
      <c r="O102" s="322"/>
      <c r="P102" s="610"/>
      <c r="Q102" s="585"/>
      <c r="R102" s="588"/>
      <c r="S102" s="357"/>
      <c r="T102" s="358"/>
      <c r="U102" s="298"/>
      <c r="V102" s="654"/>
      <c r="W102" s="301"/>
      <c r="X102" s="278"/>
      <c r="Y102" s="682"/>
      <c r="Z102" s="620"/>
      <c r="AC102" s="337"/>
    </row>
    <row r="103" spans="1:29" s="304" customFormat="1" ht="46.5" customHeight="1" x14ac:dyDescent="0.2">
      <c r="A103" s="668"/>
      <c r="B103" s="653"/>
      <c r="C103" s="659"/>
      <c r="D103" s="649"/>
      <c r="E103" s="649"/>
      <c r="F103" s="649"/>
      <c r="G103" s="677"/>
      <c r="H103" s="653"/>
      <c r="I103" s="283" t="s">
        <v>221</v>
      </c>
      <c r="J103" s="294">
        <v>267095.12</v>
      </c>
      <c r="K103" s="590"/>
      <c r="L103" s="590"/>
      <c r="M103" s="294"/>
      <c r="N103" s="590"/>
      <c r="O103" s="295"/>
      <c r="P103" s="611"/>
      <c r="Q103" s="585"/>
      <c r="R103" s="685"/>
      <c r="S103" s="359"/>
      <c r="T103" s="360"/>
      <c r="U103" s="298"/>
      <c r="V103" s="654"/>
      <c r="W103" s="301">
        <v>0</v>
      </c>
      <c r="X103" s="278"/>
      <c r="Y103" s="683"/>
      <c r="Z103" s="317" t="s">
        <v>245</v>
      </c>
    </row>
    <row r="104" spans="1:29" s="304" customFormat="1" ht="33.75" customHeight="1" x14ac:dyDescent="0.2">
      <c r="A104" s="669">
        <v>14</v>
      </c>
      <c r="B104" s="666" t="s">
        <v>105</v>
      </c>
      <c r="C104" s="659">
        <v>1985</v>
      </c>
      <c r="D104" s="649" t="s">
        <v>106</v>
      </c>
      <c r="E104" s="649">
        <v>9</v>
      </c>
      <c r="F104" s="649">
        <v>6</v>
      </c>
      <c r="G104" s="677">
        <v>13385.9</v>
      </c>
      <c r="H104" s="653">
        <v>506</v>
      </c>
      <c r="I104" s="283" t="s">
        <v>57</v>
      </c>
      <c r="J104" s="294">
        <v>2682892.14</v>
      </c>
      <c r="K104" s="582">
        <f>J104+J105+J106+J107</f>
        <v>4999999.9999999991</v>
      </c>
      <c r="L104" s="582">
        <f>SUM(J104:J107)</f>
        <v>4999999.9999999991</v>
      </c>
      <c r="M104" s="294">
        <v>2682892.14</v>
      </c>
      <c r="N104" s="618">
        <f>M104+M105+M106+M107</f>
        <v>4999999.9999999991</v>
      </c>
      <c r="O104" s="297"/>
      <c r="P104" s="646">
        <v>4756891</v>
      </c>
      <c r="Q104" s="583">
        <v>0</v>
      </c>
      <c r="R104" s="582">
        <v>243109</v>
      </c>
      <c r="S104" s="681" t="s">
        <v>107</v>
      </c>
      <c r="T104" s="709">
        <v>41929</v>
      </c>
      <c r="U104" s="299">
        <v>42050</v>
      </c>
      <c r="V104" s="654" t="s">
        <v>108</v>
      </c>
      <c r="W104" s="301">
        <v>1</v>
      </c>
      <c r="X104" s="278"/>
      <c r="Y104" s="625">
        <f>AVERAGE(W104:W105)</f>
        <v>1</v>
      </c>
      <c r="Z104" s="620" t="s">
        <v>217</v>
      </c>
    </row>
    <row r="105" spans="1:29" s="304" customFormat="1" ht="26.25" customHeight="1" x14ac:dyDescent="0.2">
      <c r="A105" s="670"/>
      <c r="B105" s="667"/>
      <c r="C105" s="659"/>
      <c r="D105" s="649"/>
      <c r="E105" s="649"/>
      <c r="F105" s="649"/>
      <c r="G105" s="677"/>
      <c r="H105" s="653"/>
      <c r="I105" s="283" t="s">
        <v>35</v>
      </c>
      <c r="J105" s="294">
        <f>2210455.02-4442.72</f>
        <v>2206012.2999999998</v>
      </c>
      <c r="K105" s="583"/>
      <c r="L105" s="583"/>
      <c r="M105" s="294">
        <v>2206012.2999999998</v>
      </c>
      <c r="N105" s="610"/>
      <c r="O105" s="297">
        <v>-243109</v>
      </c>
      <c r="P105" s="647"/>
      <c r="Q105" s="583"/>
      <c r="R105" s="583"/>
      <c r="S105" s="681"/>
      <c r="T105" s="710"/>
      <c r="U105" s="318">
        <v>42063</v>
      </c>
      <c r="V105" s="654"/>
      <c r="W105" s="301">
        <v>1</v>
      </c>
      <c r="X105" s="278"/>
      <c r="Y105" s="626"/>
      <c r="Z105" s="620"/>
    </row>
    <row r="106" spans="1:29" s="304" customFormat="1" ht="26.25" customHeight="1" x14ac:dyDescent="0.2">
      <c r="A106" s="670"/>
      <c r="B106" s="667"/>
      <c r="C106" s="281"/>
      <c r="D106" s="283"/>
      <c r="E106" s="283"/>
      <c r="F106" s="283"/>
      <c r="G106" s="292"/>
      <c r="H106" s="293"/>
      <c r="I106" s="283" t="s">
        <v>219</v>
      </c>
      <c r="J106" s="294">
        <v>104718.09</v>
      </c>
      <c r="K106" s="583"/>
      <c r="L106" s="583"/>
      <c r="M106" s="294">
        <v>104718.09</v>
      </c>
      <c r="N106" s="610"/>
      <c r="O106" s="297"/>
      <c r="P106" s="647"/>
      <c r="Q106" s="583"/>
      <c r="R106" s="583"/>
      <c r="S106" s="361"/>
      <c r="T106" s="345"/>
      <c r="U106" s="298"/>
      <c r="V106" s="300"/>
      <c r="W106" s="301"/>
      <c r="X106" s="278"/>
      <c r="Y106" s="626"/>
      <c r="Z106" s="620"/>
    </row>
    <row r="107" spans="1:29" s="304" customFormat="1" ht="26.25" customHeight="1" x14ac:dyDescent="0.2">
      <c r="A107" s="670"/>
      <c r="B107" s="667"/>
      <c r="C107" s="281"/>
      <c r="D107" s="283"/>
      <c r="E107" s="283"/>
      <c r="F107" s="283"/>
      <c r="G107" s="292"/>
      <c r="H107" s="293"/>
      <c r="I107" s="283" t="s">
        <v>220</v>
      </c>
      <c r="J107" s="294">
        <v>6377.47</v>
      </c>
      <c r="K107" s="584"/>
      <c r="L107" s="584"/>
      <c r="M107" s="294">
        <v>6377.47</v>
      </c>
      <c r="N107" s="611"/>
      <c r="O107" s="297"/>
      <c r="P107" s="678"/>
      <c r="Q107" s="584"/>
      <c r="R107" s="584"/>
      <c r="S107" s="361"/>
      <c r="T107" s="345"/>
      <c r="U107" s="298"/>
      <c r="V107" s="300"/>
      <c r="W107" s="301"/>
      <c r="X107" s="278"/>
      <c r="Y107" s="628"/>
      <c r="Z107" s="620"/>
    </row>
    <row r="108" spans="1:29" s="304" customFormat="1" ht="47.25" customHeight="1" x14ac:dyDescent="0.2">
      <c r="A108" s="669">
        <v>15</v>
      </c>
      <c r="B108" s="666" t="s">
        <v>109</v>
      </c>
      <c r="C108" s="659">
        <v>1986</v>
      </c>
      <c r="D108" s="649" t="s">
        <v>110</v>
      </c>
      <c r="E108" s="649">
        <v>9</v>
      </c>
      <c r="F108" s="649">
        <v>8</v>
      </c>
      <c r="G108" s="677">
        <v>9678.2000000000007</v>
      </c>
      <c r="H108" s="653">
        <v>460</v>
      </c>
      <c r="I108" s="283" t="s">
        <v>57</v>
      </c>
      <c r="J108" s="294">
        <v>2671646.27</v>
      </c>
      <c r="K108" s="582">
        <f>J108+J109+J110+J111</f>
        <v>5024480</v>
      </c>
      <c r="L108" s="582">
        <f>SUM(J108:J111)</f>
        <v>5024480</v>
      </c>
      <c r="M108" s="294">
        <v>2770841.39</v>
      </c>
      <c r="N108" s="618">
        <f>M108+M109+M111+M110</f>
        <v>5024480</v>
      </c>
      <c r="O108" s="297"/>
      <c r="P108" s="612">
        <f>SUM(N108,O109)</f>
        <v>4912255</v>
      </c>
      <c r="Q108" s="582">
        <v>0</v>
      </c>
      <c r="R108" s="582">
        <v>112225</v>
      </c>
      <c r="S108" s="362" t="s">
        <v>111</v>
      </c>
      <c r="T108" s="334">
        <v>41901</v>
      </c>
      <c r="U108" s="298">
        <v>42063</v>
      </c>
      <c r="V108" s="654" t="s">
        <v>112</v>
      </c>
      <c r="W108" s="301">
        <v>1</v>
      </c>
      <c r="X108" s="363"/>
      <c r="Y108" s="625">
        <f>AVERAGE(W108:W109)</f>
        <v>1</v>
      </c>
      <c r="Z108" s="619" t="s">
        <v>217</v>
      </c>
    </row>
    <row r="109" spans="1:29" s="304" customFormat="1" ht="51" customHeight="1" x14ac:dyDescent="0.2">
      <c r="A109" s="670"/>
      <c r="B109" s="667"/>
      <c r="C109" s="659"/>
      <c r="D109" s="649"/>
      <c r="E109" s="649"/>
      <c r="F109" s="649"/>
      <c r="G109" s="677"/>
      <c r="H109" s="653"/>
      <c r="I109" s="283" t="s">
        <v>35</v>
      </c>
      <c r="J109" s="294">
        <v>2148353.73</v>
      </c>
      <c r="K109" s="583"/>
      <c r="L109" s="583"/>
      <c r="M109" s="294">
        <v>2148353.73</v>
      </c>
      <c r="N109" s="610"/>
      <c r="O109" s="297">
        <v>-112225</v>
      </c>
      <c r="P109" s="613"/>
      <c r="Q109" s="583"/>
      <c r="R109" s="583"/>
      <c r="S109" s="364" t="s">
        <v>113</v>
      </c>
      <c r="T109" s="331">
        <v>41901</v>
      </c>
      <c r="U109" s="299">
        <v>42050</v>
      </c>
      <c r="V109" s="654"/>
      <c r="W109" s="301">
        <v>1</v>
      </c>
      <c r="X109" s="365"/>
      <c r="Y109" s="626"/>
      <c r="Z109" s="620"/>
    </row>
    <row r="110" spans="1:29" s="304" customFormat="1" ht="51" customHeight="1" x14ac:dyDescent="0.2">
      <c r="A110" s="670"/>
      <c r="B110" s="667"/>
      <c r="C110" s="281"/>
      <c r="D110" s="283"/>
      <c r="E110" s="283"/>
      <c r="F110" s="283"/>
      <c r="G110" s="292"/>
      <c r="H110" s="293"/>
      <c r="I110" s="283" t="s">
        <v>114</v>
      </c>
      <c r="J110" s="294">
        <f>99208.93</f>
        <v>99208.93</v>
      </c>
      <c r="K110" s="583"/>
      <c r="L110" s="583"/>
      <c r="M110" s="294">
        <v>13.81</v>
      </c>
      <c r="N110" s="610"/>
      <c r="O110" s="297"/>
      <c r="P110" s="613"/>
      <c r="Q110" s="583"/>
      <c r="R110" s="583"/>
      <c r="S110" s="364" t="s">
        <v>115</v>
      </c>
      <c r="T110" s="318">
        <v>42100</v>
      </c>
      <c r="U110" s="299">
        <v>42153</v>
      </c>
      <c r="V110" s="300"/>
      <c r="W110" s="301">
        <v>1</v>
      </c>
      <c r="X110" s="365"/>
      <c r="Y110" s="626"/>
      <c r="Z110" s="620"/>
      <c r="AB110" s="337"/>
    </row>
    <row r="111" spans="1:29" s="304" customFormat="1" ht="33" customHeight="1" x14ac:dyDescent="0.2">
      <c r="A111" s="671"/>
      <c r="B111" s="672"/>
      <c r="C111" s="281"/>
      <c r="D111" s="283"/>
      <c r="E111" s="283"/>
      <c r="F111" s="283"/>
      <c r="G111" s="292"/>
      <c r="H111" s="293"/>
      <c r="I111" s="283" t="s">
        <v>219</v>
      </c>
      <c r="J111" s="294">
        <v>105271.07</v>
      </c>
      <c r="K111" s="584"/>
      <c r="L111" s="584"/>
      <c r="M111" s="294">
        <v>105271.07</v>
      </c>
      <c r="N111" s="611"/>
      <c r="O111" s="297"/>
      <c r="P111" s="614"/>
      <c r="Q111" s="584"/>
      <c r="R111" s="584"/>
      <c r="S111" s="364"/>
      <c r="T111" s="318"/>
      <c r="U111" s="299"/>
      <c r="V111" s="300"/>
      <c r="W111" s="301"/>
      <c r="X111" s="365"/>
      <c r="Y111" s="636"/>
      <c r="Z111" s="629"/>
    </row>
    <row r="112" spans="1:29" s="304" customFormat="1" ht="60" customHeight="1" x14ac:dyDescent="0.2">
      <c r="A112" s="668">
        <v>16</v>
      </c>
      <c r="B112" s="653" t="s">
        <v>116</v>
      </c>
      <c r="C112" s="659">
        <v>1988</v>
      </c>
      <c r="D112" s="649" t="s">
        <v>117</v>
      </c>
      <c r="E112" s="649">
        <v>5</v>
      </c>
      <c r="F112" s="649">
        <v>7</v>
      </c>
      <c r="G112" s="677">
        <v>8459.2999999999993</v>
      </c>
      <c r="H112" s="653">
        <v>333</v>
      </c>
      <c r="I112" s="306" t="s">
        <v>37</v>
      </c>
      <c r="J112" s="294">
        <v>1681779.36</v>
      </c>
      <c r="K112" s="582">
        <f>J112+J113+J114+J115+J116+J117+J118</f>
        <v>4448151</v>
      </c>
      <c r="L112" s="582">
        <f>SUM(J112:J118)</f>
        <v>4448151</v>
      </c>
      <c r="M112" s="294">
        <v>1681779.36</v>
      </c>
      <c r="N112" s="582">
        <f>SUM(M112:M118)</f>
        <v>4241450.83</v>
      </c>
      <c r="O112" s="307"/>
      <c r="P112" s="582">
        <v>4241450.83</v>
      </c>
      <c r="Q112" s="582">
        <f>K112-N112</f>
        <v>206700.16999999993</v>
      </c>
      <c r="R112" s="582"/>
      <c r="S112" s="649" t="s">
        <v>118</v>
      </c>
      <c r="T112" s="650">
        <v>41934</v>
      </c>
      <c r="U112" s="318">
        <v>42200</v>
      </c>
      <c r="V112" s="654" t="s">
        <v>119</v>
      </c>
      <c r="W112" s="301">
        <v>1</v>
      </c>
      <c r="X112" s="279"/>
      <c r="Y112" s="640">
        <f>AVERAGE(W112:W115)</f>
        <v>1</v>
      </c>
      <c r="Z112" s="366" t="s">
        <v>228</v>
      </c>
    </row>
    <row r="113" spans="1:26" s="304" customFormat="1" ht="24" customHeight="1" x14ac:dyDescent="0.2">
      <c r="A113" s="668"/>
      <c r="B113" s="653"/>
      <c r="C113" s="659"/>
      <c r="D113" s="649"/>
      <c r="E113" s="649"/>
      <c r="F113" s="649"/>
      <c r="G113" s="677"/>
      <c r="H113" s="653"/>
      <c r="I113" s="306" t="s">
        <v>222</v>
      </c>
      <c r="J113" s="675">
        <v>411207.64</v>
      </c>
      <c r="K113" s="583"/>
      <c r="L113" s="583"/>
      <c r="M113" s="294">
        <v>204507.47</v>
      </c>
      <c r="N113" s="583"/>
      <c r="O113" s="307"/>
      <c r="P113" s="583"/>
      <c r="Q113" s="583"/>
      <c r="R113" s="583"/>
      <c r="S113" s="649"/>
      <c r="T113" s="650"/>
      <c r="U113" s="318">
        <v>42200</v>
      </c>
      <c r="V113" s="654"/>
      <c r="W113" s="301">
        <v>1</v>
      </c>
      <c r="X113" s="279"/>
      <c r="Y113" s="641"/>
      <c r="Z113" s="705"/>
    </row>
    <row r="114" spans="1:26" s="304" customFormat="1" ht="24" customHeight="1" x14ac:dyDescent="0.2">
      <c r="A114" s="668"/>
      <c r="B114" s="653"/>
      <c r="C114" s="659"/>
      <c r="D114" s="649"/>
      <c r="E114" s="649"/>
      <c r="F114" s="649"/>
      <c r="G114" s="677"/>
      <c r="H114" s="653"/>
      <c r="I114" s="306" t="s">
        <v>223</v>
      </c>
      <c r="J114" s="676"/>
      <c r="K114" s="583"/>
      <c r="L114" s="583"/>
      <c r="M114" s="294"/>
      <c r="N114" s="583"/>
      <c r="O114" s="307"/>
      <c r="P114" s="583"/>
      <c r="Q114" s="583"/>
      <c r="R114" s="583"/>
      <c r="S114" s="649"/>
      <c r="T114" s="650"/>
      <c r="U114" s="318"/>
      <c r="V114" s="654"/>
      <c r="W114" s="301"/>
      <c r="X114" s="279"/>
      <c r="Y114" s="641"/>
      <c r="Z114" s="707"/>
    </row>
    <row r="115" spans="1:26" s="304" customFormat="1" ht="19.5" customHeight="1" x14ac:dyDescent="0.2">
      <c r="A115" s="668"/>
      <c r="B115" s="653"/>
      <c r="C115" s="659"/>
      <c r="D115" s="649"/>
      <c r="E115" s="649"/>
      <c r="F115" s="649"/>
      <c r="G115" s="677"/>
      <c r="H115" s="653"/>
      <c r="I115" s="283" t="s">
        <v>35</v>
      </c>
      <c r="J115" s="294">
        <v>1902013</v>
      </c>
      <c r="K115" s="583"/>
      <c r="L115" s="583"/>
      <c r="M115" s="294">
        <v>1902013</v>
      </c>
      <c r="N115" s="583"/>
      <c r="O115" s="307"/>
      <c r="P115" s="583"/>
      <c r="Q115" s="583"/>
      <c r="R115" s="583"/>
      <c r="S115" s="649"/>
      <c r="T115" s="650"/>
      <c r="U115" s="318">
        <v>42063</v>
      </c>
      <c r="V115" s="654"/>
      <c r="W115" s="301">
        <v>1</v>
      </c>
      <c r="X115" s="279"/>
      <c r="Y115" s="641"/>
      <c r="Z115" s="366"/>
    </row>
    <row r="116" spans="1:26" s="304" customFormat="1" ht="36" customHeight="1" x14ac:dyDescent="0.2">
      <c r="A116" s="668"/>
      <c r="B116" s="653"/>
      <c r="C116" s="281"/>
      <c r="D116" s="283"/>
      <c r="E116" s="283"/>
      <c r="F116" s="283"/>
      <c r="G116" s="292"/>
      <c r="H116" s="293"/>
      <c r="I116" s="306" t="s">
        <v>219</v>
      </c>
      <c r="J116" s="294">
        <v>85506.79</v>
      </c>
      <c r="K116" s="583"/>
      <c r="L116" s="583"/>
      <c r="M116" s="294">
        <v>85506.79</v>
      </c>
      <c r="N116" s="583"/>
      <c r="O116" s="307">
        <v>0</v>
      </c>
      <c r="P116" s="583"/>
      <c r="Q116" s="583"/>
      <c r="R116" s="583"/>
      <c r="S116" s="278"/>
      <c r="T116" s="299"/>
      <c r="U116" s="299"/>
      <c r="V116" s="283"/>
      <c r="W116" s="301"/>
      <c r="X116" s="279"/>
      <c r="Y116" s="641"/>
      <c r="Z116" s="705" t="s">
        <v>255</v>
      </c>
    </row>
    <row r="117" spans="1:26" s="304" customFormat="1" ht="36" customHeight="1" x14ac:dyDescent="0.2">
      <c r="A117" s="668"/>
      <c r="B117" s="653"/>
      <c r="C117" s="281"/>
      <c r="D117" s="283"/>
      <c r="E117" s="283"/>
      <c r="F117" s="283"/>
      <c r="G117" s="292"/>
      <c r="H117" s="293"/>
      <c r="I117" s="312" t="s">
        <v>218</v>
      </c>
      <c r="J117" s="294">
        <v>367000</v>
      </c>
      <c r="K117" s="583"/>
      <c r="L117" s="583"/>
      <c r="M117" s="294">
        <v>367000</v>
      </c>
      <c r="N117" s="583"/>
      <c r="O117" s="307"/>
      <c r="P117" s="583"/>
      <c r="Q117" s="583"/>
      <c r="R117" s="583"/>
      <c r="S117" s="278"/>
      <c r="T117" s="299"/>
      <c r="U117" s="299"/>
      <c r="V117" s="283"/>
      <c r="W117" s="301"/>
      <c r="X117" s="279"/>
      <c r="Y117" s="641"/>
      <c r="Z117" s="706"/>
    </row>
    <row r="118" spans="1:26" s="304" customFormat="1" ht="63.75" customHeight="1" x14ac:dyDescent="0.2">
      <c r="A118" s="668"/>
      <c r="B118" s="653"/>
      <c r="C118" s="281"/>
      <c r="D118" s="283"/>
      <c r="E118" s="283"/>
      <c r="F118" s="283"/>
      <c r="G118" s="292"/>
      <c r="H118" s="293"/>
      <c r="I118" s="306" t="s">
        <v>39</v>
      </c>
      <c r="J118" s="294">
        <v>644.21</v>
      </c>
      <c r="K118" s="584"/>
      <c r="L118" s="584"/>
      <c r="M118" s="294">
        <v>644.21</v>
      </c>
      <c r="N118" s="584"/>
      <c r="O118" s="307"/>
      <c r="P118" s="584"/>
      <c r="Q118" s="584"/>
      <c r="R118" s="584"/>
      <c r="S118" s="278" t="s">
        <v>40</v>
      </c>
      <c r="T118" s="299">
        <v>42100</v>
      </c>
      <c r="U118" s="299">
        <v>42130</v>
      </c>
      <c r="V118" s="283"/>
      <c r="W118" s="301">
        <v>1</v>
      </c>
      <c r="X118" s="279"/>
      <c r="Y118" s="642"/>
      <c r="Z118" s="707"/>
    </row>
    <row r="119" spans="1:26" s="304" customFormat="1" ht="42.75" customHeight="1" x14ac:dyDescent="0.2">
      <c r="A119" s="668">
        <v>17</v>
      </c>
      <c r="B119" s="653" t="s">
        <v>121</v>
      </c>
      <c r="C119" s="659">
        <v>1960</v>
      </c>
      <c r="D119" s="649" t="s">
        <v>122</v>
      </c>
      <c r="E119" s="649">
        <v>5</v>
      </c>
      <c r="F119" s="649">
        <v>2</v>
      </c>
      <c r="G119" s="677">
        <v>4226.8</v>
      </c>
      <c r="H119" s="653">
        <v>250</v>
      </c>
      <c r="I119" s="306" t="s">
        <v>35</v>
      </c>
      <c r="J119" s="294">
        <v>615000</v>
      </c>
      <c r="K119" s="582">
        <f>J119+J120+J122+J121</f>
        <v>1505190</v>
      </c>
      <c r="L119" s="582">
        <f>SUM(J119:J122)</f>
        <v>1505190</v>
      </c>
      <c r="M119" s="294">
        <v>615000</v>
      </c>
      <c r="N119" s="618">
        <f>M119+M120+M122+M121</f>
        <v>1505190</v>
      </c>
      <c r="O119" s="297">
        <v>-37970</v>
      </c>
      <c r="P119" s="646">
        <v>1467220</v>
      </c>
      <c r="Q119" s="582">
        <v>0</v>
      </c>
      <c r="R119" s="582">
        <v>37970</v>
      </c>
      <c r="S119" s="364" t="s">
        <v>291</v>
      </c>
      <c r="T119" s="318">
        <v>41901</v>
      </c>
      <c r="U119" s="299">
        <v>42050</v>
      </c>
      <c r="V119" s="654" t="s">
        <v>124</v>
      </c>
      <c r="W119" s="301">
        <v>1</v>
      </c>
      <c r="X119" s="278"/>
      <c r="Y119" s="626">
        <f>AVERAGE(W119:W120)</f>
        <v>1</v>
      </c>
      <c r="Z119" s="620" t="s">
        <v>217</v>
      </c>
    </row>
    <row r="120" spans="1:26" s="304" customFormat="1" ht="42.75" customHeight="1" x14ac:dyDescent="0.2">
      <c r="A120" s="668"/>
      <c r="B120" s="653"/>
      <c r="C120" s="659"/>
      <c r="D120" s="649"/>
      <c r="E120" s="649"/>
      <c r="F120" s="649"/>
      <c r="G120" s="677"/>
      <c r="H120" s="653"/>
      <c r="I120" s="283" t="s">
        <v>43</v>
      </c>
      <c r="J120" s="294">
        <v>850000</v>
      </c>
      <c r="K120" s="583"/>
      <c r="L120" s="583"/>
      <c r="M120" s="294">
        <v>850000</v>
      </c>
      <c r="N120" s="610"/>
      <c r="O120" s="297"/>
      <c r="P120" s="647"/>
      <c r="Q120" s="583"/>
      <c r="R120" s="583"/>
      <c r="S120" s="364" t="s">
        <v>292</v>
      </c>
      <c r="T120" s="318">
        <v>41901</v>
      </c>
      <c r="U120" s="299">
        <v>42050</v>
      </c>
      <c r="V120" s="654"/>
      <c r="W120" s="301">
        <v>1</v>
      </c>
      <c r="X120" s="278"/>
      <c r="Y120" s="626"/>
      <c r="Z120" s="620"/>
    </row>
    <row r="121" spans="1:26" s="304" customFormat="1" ht="42.75" customHeight="1" x14ac:dyDescent="0.2">
      <c r="A121" s="668"/>
      <c r="B121" s="653"/>
      <c r="C121" s="281"/>
      <c r="D121" s="283"/>
      <c r="E121" s="283"/>
      <c r="F121" s="283"/>
      <c r="G121" s="292"/>
      <c r="H121" s="293"/>
      <c r="I121" s="306" t="s">
        <v>219</v>
      </c>
      <c r="J121" s="294">
        <v>31536.19</v>
      </c>
      <c r="K121" s="583"/>
      <c r="L121" s="583"/>
      <c r="M121" s="294">
        <v>31536.19</v>
      </c>
      <c r="N121" s="610"/>
      <c r="O121" s="297"/>
      <c r="P121" s="647"/>
      <c r="Q121" s="583"/>
      <c r="R121" s="583"/>
      <c r="S121" s="364"/>
      <c r="T121" s="318"/>
      <c r="U121" s="299"/>
      <c r="V121" s="300"/>
      <c r="W121" s="301"/>
      <c r="X121" s="278"/>
      <c r="Y121" s="626"/>
      <c r="Z121" s="620"/>
    </row>
    <row r="122" spans="1:26" s="304" customFormat="1" ht="69.2" customHeight="1" x14ac:dyDescent="0.2">
      <c r="A122" s="668"/>
      <c r="B122" s="653"/>
      <c r="C122" s="281"/>
      <c r="D122" s="283"/>
      <c r="E122" s="283"/>
      <c r="F122" s="283"/>
      <c r="G122" s="292"/>
      <c r="H122" s="293"/>
      <c r="I122" s="306" t="s">
        <v>39</v>
      </c>
      <c r="J122" s="294">
        <v>8653.81</v>
      </c>
      <c r="K122" s="615"/>
      <c r="L122" s="615"/>
      <c r="M122" s="294">
        <v>8653.81</v>
      </c>
      <c r="N122" s="680"/>
      <c r="O122" s="297"/>
      <c r="P122" s="648"/>
      <c r="Q122" s="615"/>
      <c r="R122" s="584"/>
      <c r="S122" s="278" t="s">
        <v>40</v>
      </c>
      <c r="T122" s="299">
        <v>42100</v>
      </c>
      <c r="U122" s="299">
        <v>42130</v>
      </c>
      <c r="V122" s="283"/>
      <c r="W122" s="301">
        <v>1</v>
      </c>
      <c r="X122" s="278"/>
      <c r="Y122" s="636"/>
      <c r="Z122" s="629"/>
    </row>
    <row r="123" spans="1:26" s="370" customFormat="1" ht="69.75" customHeight="1" x14ac:dyDescent="0.2">
      <c r="A123" s="658" t="s">
        <v>212</v>
      </c>
      <c r="B123" s="658"/>
      <c r="C123" s="367" t="s">
        <v>126</v>
      </c>
      <c r="D123" s="367" t="s">
        <v>126</v>
      </c>
      <c r="E123" s="367" t="s">
        <v>126</v>
      </c>
      <c r="F123" s="367" t="s">
        <v>126</v>
      </c>
      <c r="G123" s="321">
        <f>SUM(G15:G120)</f>
        <v>103869.7</v>
      </c>
      <c r="H123" s="368">
        <f>SUM(H15:H120)</f>
        <v>4080</v>
      </c>
      <c r="I123" s="367" t="s">
        <v>126</v>
      </c>
      <c r="J123" s="321">
        <f>SUM(J15:J122)</f>
        <v>71046184.739999995</v>
      </c>
      <c r="K123" s="321">
        <f>SUM(K15:K120)</f>
        <v>71046184.739999995</v>
      </c>
      <c r="L123" s="321">
        <f>SUM(L15:L122)</f>
        <v>71046184.739999995</v>
      </c>
      <c r="M123" s="321">
        <f>SUM(M15:M122)</f>
        <v>70566309.790000007</v>
      </c>
      <c r="N123" s="321">
        <f>SUM(N15:N122)</f>
        <v>70566309.789999992</v>
      </c>
      <c r="O123" s="321">
        <f>SUM(O15:O122)</f>
        <v>-837310</v>
      </c>
      <c r="P123" s="321">
        <f>SUM(P15:P122)</f>
        <v>69728999.790000007</v>
      </c>
      <c r="Q123" s="321"/>
      <c r="R123" s="321"/>
      <c r="S123" s="367" t="s">
        <v>126</v>
      </c>
      <c r="T123" s="367" t="s">
        <v>126</v>
      </c>
      <c r="U123" s="367" t="s">
        <v>126</v>
      </c>
      <c r="V123" s="367" t="s">
        <v>126</v>
      </c>
      <c r="W123" s="367"/>
      <c r="X123" s="367" t="s">
        <v>126</v>
      </c>
      <c r="Y123" s="356">
        <f>AVERAGE(Y15:Y122)</f>
        <v>0.99846153846153851</v>
      </c>
      <c r="Z123" s="369" t="s">
        <v>126</v>
      </c>
    </row>
    <row r="124" spans="1:26" s="290" customFormat="1" ht="42.75" customHeight="1" x14ac:dyDescent="0.2">
      <c r="A124" s="644" t="s">
        <v>295</v>
      </c>
      <c r="B124" s="644"/>
      <c r="C124" s="644"/>
      <c r="D124" s="644"/>
      <c r="E124" s="644"/>
      <c r="F124" s="644"/>
      <c r="G124" s="644"/>
      <c r="H124" s="644"/>
      <c r="I124" s="644"/>
      <c r="J124" s="644"/>
      <c r="K124" s="644"/>
      <c r="L124" s="644"/>
      <c r="M124" s="644"/>
      <c r="N124" s="644"/>
      <c r="O124" s="644"/>
      <c r="P124" s="644"/>
      <c r="Q124" s="644"/>
      <c r="R124" s="644"/>
      <c r="S124" s="645"/>
      <c r="T124" s="644"/>
      <c r="U124" s="644"/>
      <c r="V124" s="644"/>
      <c r="W124" s="367"/>
      <c r="X124" s="371"/>
      <c r="Y124" s="371"/>
      <c r="Z124" s="372"/>
    </row>
    <row r="125" spans="1:26" s="378" customFormat="1" ht="51.75" customHeight="1" x14ac:dyDescent="0.2">
      <c r="A125" s="669">
        <v>19</v>
      </c>
      <c r="B125" s="586" t="s">
        <v>128</v>
      </c>
      <c r="C125" s="373"/>
      <c r="D125" s="288"/>
      <c r="E125" s="288"/>
      <c r="F125" s="288"/>
      <c r="G125" s="288"/>
      <c r="H125" s="288"/>
      <c r="I125" s="598" t="s">
        <v>281</v>
      </c>
      <c r="J125" s="599">
        <v>450000</v>
      </c>
      <c r="K125" s="571">
        <f>SUM(J125:J131)</f>
        <v>1000000</v>
      </c>
      <c r="L125" s="571">
        <v>1000000</v>
      </c>
      <c r="M125" s="292">
        <v>418283</v>
      </c>
      <c r="N125" s="571">
        <f>SUM(M125:M131)</f>
        <v>1000000</v>
      </c>
      <c r="O125" s="375">
        <v>-94286</v>
      </c>
      <c r="P125" s="571">
        <v>845804</v>
      </c>
      <c r="Q125" s="582">
        <v>0</v>
      </c>
      <c r="R125" s="618">
        <v>154196</v>
      </c>
      <c r="S125" s="652" t="s">
        <v>280</v>
      </c>
      <c r="T125" s="663" t="s">
        <v>134</v>
      </c>
      <c r="U125" s="660" t="s">
        <v>256</v>
      </c>
      <c r="V125" s="288"/>
      <c r="W125" s="622">
        <v>1</v>
      </c>
      <c r="X125" s="377"/>
      <c r="Y125" s="625">
        <f>W125:W131</f>
        <v>1</v>
      </c>
      <c r="Z125" s="619" t="s">
        <v>241</v>
      </c>
    </row>
    <row r="126" spans="1:26" s="378" customFormat="1" ht="48.75" customHeight="1" x14ac:dyDescent="0.2">
      <c r="A126" s="670"/>
      <c r="B126" s="592"/>
      <c r="C126" s="373"/>
      <c r="D126" s="288"/>
      <c r="E126" s="288"/>
      <c r="F126" s="288"/>
      <c r="G126" s="288"/>
      <c r="H126" s="288"/>
      <c r="I126" s="577"/>
      <c r="J126" s="577"/>
      <c r="K126" s="572"/>
      <c r="L126" s="572"/>
      <c r="M126" s="292">
        <v>23429.85</v>
      </c>
      <c r="N126" s="572"/>
      <c r="O126" s="379"/>
      <c r="P126" s="572"/>
      <c r="Q126" s="583"/>
      <c r="R126" s="610"/>
      <c r="S126" s="589"/>
      <c r="T126" s="664"/>
      <c r="U126" s="661"/>
      <c r="V126" s="288"/>
      <c r="W126" s="623"/>
      <c r="X126" s="377"/>
      <c r="Y126" s="626"/>
      <c r="Z126" s="620"/>
    </row>
    <row r="127" spans="1:26" s="378" customFormat="1" ht="48.75" customHeight="1" x14ac:dyDescent="0.2">
      <c r="A127" s="670"/>
      <c r="B127" s="592"/>
      <c r="C127" s="373"/>
      <c r="D127" s="288"/>
      <c r="E127" s="288"/>
      <c r="F127" s="288"/>
      <c r="G127" s="288"/>
      <c r="H127" s="288"/>
      <c r="I127" s="578"/>
      <c r="J127" s="578"/>
      <c r="K127" s="572"/>
      <c r="L127" s="572"/>
      <c r="M127" s="292">
        <v>8287.15</v>
      </c>
      <c r="N127" s="572"/>
      <c r="O127" s="379"/>
      <c r="P127" s="572"/>
      <c r="Q127" s="583"/>
      <c r="R127" s="610"/>
      <c r="S127" s="589"/>
      <c r="T127" s="664"/>
      <c r="U127" s="661"/>
      <c r="V127" s="288"/>
      <c r="W127" s="623"/>
      <c r="X127" s="377"/>
      <c r="Y127" s="626"/>
      <c r="Z127" s="620"/>
    </row>
    <row r="128" spans="1:26" s="378" customFormat="1" ht="67.5" customHeight="1" x14ac:dyDescent="0.2">
      <c r="A128" s="670"/>
      <c r="B128" s="592"/>
      <c r="C128" s="373"/>
      <c r="D128" s="288"/>
      <c r="E128" s="288"/>
      <c r="F128" s="288"/>
      <c r="G128" s="288"/>
      <c r="H128" s="288"/>
      <c r="I128" s="306" t="s">
        <v>226</v>
      </c>
      <c r="J128" s="292">
        <v>433000</v>
      </c>
      <c r="K128" s="572"/>
      <c r="L128" s="572"/>
      <c r="M128" s="292">
        <v>433000</v>
      </c>
      <c r="N128" s="572"/>
      <c r="O128" s="379">
        <v>-59910</v>
      </c>
      <c r="P128" s="572"/>
      <c r="Q128" s="679"/>
      <c r="R128" s="597"/>
      <c r="S128" s="376" t="s">
        <v>279</v>
      </c>
      <c r="T128" s="665"/>
      <c r="U128" s="662"/>
      <c r="V128" s="288"/>
      <c r="W128" s="624"/>
      <c r="X128" s="377"/>
      <c r="Y128" s="626"/>
      <c r="Z128" s="620"/>
    </row>
    <row r="129" spans="1:26" s="378" customFormat="1" ht="71.45" customHeight="1" x14ac:dyDescent="0.2">
      <c r="A129" s="670"/>
      <c r="B129" s="592"/>
      <c r="C129" s="281"/>
      <c r="D129" s="283"/>
      <c r="E129" s="283"/>
      <c r="F129" s="283"/>
      <c r="G129" s="283"/>
      <c r="H129" s="283"/>
      <c r="I129" s="306" t="s">
        <v>39</v>
      </c>
      <c r="J129" s="292">
        <v>101.63</v>
      </c>
      <c r="K129" s="572"/>
      <c r="L129" s="572"/>
      <c r="M129" s="292">
        <v>101.63</v>
      </c>
      <c r="N129" s="572"/>
      <c r="O129" s="379"/>
      <c r="P129" s="572"/>
      <c r="Q129" s="679"/>
      <c r="R129" s="577"/>
      <c r="S129" s="286" t="s">
        <v>40</v>
      </c>
      <c r="T129" s="299">
        <v>42100</v>
      </c>
      <c r="U129" s="299">
        <v>42130</v>
      </c>
      <c r="V129" s="283"/>
      <c r="W129" s="301">
        <v>1</v>
      </c>
      <c r="X129" s="377"/>
      <c r="Y129" s="626"/>
      <c r="Z129" s="620"/>
    </row>
    <row r="130" spans="1:26" s="378" customFormat="1" ht="34.5" customHeight="1" x14ac:dyDescent="0.2">
      <c r="A130" s="670"/>
      <c r="B130" s="592"/>
      <c r="C130" s="281"/>
      <c r="D130" s="283"/>
      <c r="E130" s="283"/>
      <c r="F130" s="283"/>
      <c r="G130" s="283"/>
      <c r="H130" s="283"/>
      <c r="I130" s="312" t="s">
        <v>218</v>
      </c>
      <c r="J130" s="292">
        <v>98000</v>
      </c>
      <c r="K130" s="572"/>
      <c r="L130" s="572"/>
      <c r="M130" s="292">
        <v>98000</v>
      </c>
      <c r="N130" s="572"/>
      <c r="O130" s="379"/>
      <c r="P130" s="572"/>
      <c r="Q130" s="679"/>
      <c r="R130" s="577"/>
      <c r="S130" s="278"/>
      <c r="T130" s="350"/>
      <c r="U130" s="350"/>
      <c r="V130" s="283"/>
      <c r="W130" s="301"/>
      <c r="X130" s="377"/>
      <c r="Y130" s="626"/>
      <c r="Z130" s="620"/>
    </row>
    <row r="131" spans="1:26" s="378" customFormat="1" ht="34.5" customHeight="1" x14ac:dyDescent="0.2">
      <c r="A131" s="670"/>
      <c r="B131" s="592"/>
      <c r="C131" s="281"/>
      <c r="D131" s="283"/>
      <c r="E131" s="283"/>
      <c r="F131" s="283"/>
      <c r="G131" s="283"/>
      <c r="H131" s="283"/>
      <c r="I131" s="306" t="s">
        <v>219</v>
      </c>
      <c r="J131" s="292">
        <v>18898.37</v>
      </c>
      <c r="K131" s="572"/>
      <c r="L131" s="572"/>
      <c r="M131" s="292">
        <v>18898.37</v>
      </c>
      <c r="N131" s="572"/>
      <c r="O131" s="379"/>
      <c r="P131" s="572"/>
      <c r="Q131" s="679"/>
      <c r="R131" s="577"/>
      <c r="S131" s="278"/>
      <c r="T131" s="350"/>
      <c r="U131" s="350"/>
      <c r="V131" s="283"/>
      <c r="W131" s="301"/>
      <c r="X131" s="377"/>
      <c r="Y131" s="626"/>
      <c r="Z131" s="620"/>
    </row>
    <row r="132" spans="1:26" s="378" customFormat="1" ht="36.75" customHeight="1" x14ac:dyDescent="0.2">
      <c r="A132" s="656">
        <v>20</v>
      </c>
      <c r="B132" s="686" t="s">
        <v>136</v>
      </c>
      <c r="C132" s="743">
        <v>1975</v>
      </c>
      <c r="D132" s="649" t="s">
        <v>129</v>
      </c>
      <c r="E132" s="649">
        <v>5</v>
      </c>
      <c r="F132" s="649">
        <v>4</v>
      </c>
      <c r="G132" s="649">
        <v>4052.8</v>
      </c>
      <c r="H132" s="649">
        <v>106</v>
      </c>
      <c r="I132" s="306" t="s">
        <v>37</v>
      </c>
      <c r="J132" s="599">
        <v>885000</v>
      </c>
      <c r="K132" s="571">
        <v>1541411.93</v>
      </c>
      <c r="L132" s="571">
        <f>1541110.45+301.48</f>
        <v>1541411.93</v>
      </c>
      <c r="M132" s="292">
        <v>693819.81</v>
      </c>
      <c r="N132" s="571" t="s">
        <v>32</v>
      </c>
      <c r="O132" s="375">
        <v>-5934</v>
      </c>
      <c r="P132" s="571">
        <v>1469547.93</v>
      </c>
      <c r="Q132" s="571">
        <v>0</v>
      </c>
      <c r="R132" s="571">
        <v>71864</v>
      </c>
      <c r="S132" s="591" t="s">
        <v>137</v>
      </c>
      <c r="T132" s="643">
        <v>41932</v>
      </c>
      <c r="U132" s="331">
        <v>42063</v>
      </c>
      <c r="V132" s="649" t="s">
        <v>138</v>
      </c>
      <c r="W132" s="301">
        <v>1</v>
      </c>
      <c r="X132" s="381"/>
      <c r="Y132" s="655">
        <f>AVERAGE(W132:W135)</f>
        <v>1</v>
      </c>
      <c r="Z132" s="633" t="s">
        <v>242</v>
      </c>
    </row>
    <row r="133" spans="1:26" s="378" customFormat="1" ht="48" customHeight="1" x14ac:dyDescent="0.2">
      <c r="A133" s="657"/>
      <c r="B133" s="686"/>
      <c r="C133" s="743"/>
      <c r="D133" s="649"/>
      <c r="E133" s="649"/>
      <c r="F133" s="649"/>
      <c r="G133" s="649"/>
      <c r="H133" s="649"/>
      <c r="I133" s="306" t="s">
        <v>268</v>
      </c>
      <c r="J133" s="577"/>
      <c r="K133" s="572"/>
      <c r="L133" s="572"/>
      <c r="M133" s="292">
        <v>84411.8</v>
      </c>
      <c r="N133" s="572"/>
      <c r="O133" s="379"/>
      <c r="P133" s="572"/>
      <c r="Q133" s="572"/>
      <c r="R133" s="572"/>
      <c r="S133" s="591"/>
      <c r="T133" s="643"/>
      <c r="U133" s="331"/>
      <c r="V133" s="649"/>
      <c r="W133" s="301"/>
      <c r="X133" s="381"/>
      <c r="Y133" s="655"/>
      <c r="Z133" s="634"/>
    </row>
    <row r="134" spans="1:26" s="378" customFormat="1" ht="38.25" customHeight="1" x14ac:dyDescent="0.2">
      <c r="A134" s="657"/>
      <c r="B134" s="686"/>
      <c r="C134" s="743"/>
      <c r="D134" s="649"/>
      <c r="E134" s="649"/>
      <c r="F134" s="649"/>
      <c r="G134" s="649"/>
      <c r="H134" s="649"/>
      <c r="I134" s="306" t="s">
        <v>269</v>
      </c>
      <c r="J134" s="578"/>
      <c r="K134" s="572"/>
      <c r="L134" s="572"/>
      <c r="M134" s="292">
        <v>125338.54</v>
      </c>
      <c r="N134" s="572"/>
      <c r="O134" s="379">
        <v>-3298</v>
      </c>
      <c r="P134" s="572"/>
      <c r="Q134" s="572"/>
      <c r="R134" s="572"/>
      <c r="S134" s="591"/>
      <c r="T134" s="643"/>
      <c r="U134" s="299">
        <v>42050</v>
      </c>
      <c r="V134" s="649"/>
      <c r="W134" s="301">
        <v>1</v>
      </c>
      <c r="X134" s="381"/>
      <c r="Y134" s="655"/>
      <c r="Z134" s="634"/>
    </row>
    <row r="135" spans="1:26" s="378" customFormat="1" ht="74.25" customHeight="1" x14ac:dyDescent="0.2">
      <c r="A135" s="657"/>
      <c r="B135" s="686"/>
      <c r="C135" s="743"/>
      <c r="D135" s="649"/>
      <c r="E135" s="649"/>
      <c r="F135" s="649"/>
      <c r="G135" s="649"/>
      <c r="H135" s="649"/>
      <c r="I135" s="306" t="s">
        <v>43</v>
      </c>
      <c r="J135" s="292">
        <v>475000</v>
      </c>
      <c r="K135" s="572"/>
      <c r="L135" s="572"/>
      <c r="M135" s="292">
        <v>456429.85</v>
      </c>
      <c r="N135" s="572"/>
      <c r="O135" s="379">
        <v>-62632</v>
      </c>
      <c r="P135" s="572"/>
      <c r="Q135" s="572"/>
      <c r="R135" s="572"/>
      <c r="S135" s="283" t="s">
        <v>139</v>
      </c>
      <c r="T135" s="299">
        <v>41988</v>
      </c>
      <c r="U135" s="318">
        <v>42186</v>
      </c>
      <c r="V135" s="649"/>
      <c r="W135" s="301">
        <v>1</v>
      </c>
      <c r="X135" s="381"/>
      <c r="Y135" s="655"/>
      <c r="Z135" s="634"/>
    </row>
    <row r="136" spans="1:26" s="378" customFormat="1" ht="72.75" customHeight="1" x14ac:dyDescent="0.2">
      <c r="A136" s="657"/>
      <c r="B136" s="686"/>
      <c r="C136" s="380"/>
      <c r="D136" s="283"/>
      <c r="E136" s="283"/>
      <c r="F136" s="283"/>
      <c r="G136" s="283"/>
      <c r="H136" s="283"/>
      <c r="I136" s="306" t="s">
        <v>39</v>
      </c>
      <c r="J136" s="292">
        <v>301.48</v>
      </c>
      <c r="K136" s="572"/>
      <c r="L136" s="572"/>
      <c r="M136" s="292">
        <v>301.48</v>
      </c>
      <c r="N136" s="572"/>
      <c r="O136" s="379"/>
      <c r="P136" s="572"/>
      <c r="Q136" s="572"/>
      <c r="R136" s="572"/>
      <c r="S136" s="278" t="s">
        <v>40</v>
      </c>
      <c r="T136" s="299">
        <v>42100</v>
      </c>
      <c r="U136" s="299">
        <v>42130</v>
      </c>
      <c r="V136" s="283"/>
      <c r="W136" s="301">
        <v>1</v>
      </c>
      <c r="X136" s="381"/>
      <c r="Y136" s="655"/>
      <c r="Z136" s="634"/>
    </row>
    <row r="137" spans="1:26" s="378" customFormat="1" ht="33.75" customHeight="1" x14ac:dyDescent="0.2">
      <c r="A137" s="657"/>
      <c r="B137" s="686"/>
      <c r="C137" s="380"/>
      <c r="D137" s="283"/>
      <c r="E137" s="283"/>
      <c r="F137" s="283"/>
      <c r="G137" s="283"/>
      <c r="H137" s="283"/>
      <c r="I137" s="312" t="s">
        <v>218</v>
      </c>
      <c r="J137" s="292">
        <v>152000</v>
      </c>
      <c r="K137" s="572"/>
      <c r="L137" s="572"/>
      <c r="M137" s="292">
        <v>152000</v>
      </c>
      <c r="N137" s="572"/>
      <c r="O137" s="379"/>
      <c r="P137" s="572"/>
      <c r="Q137" s="572"/>
      <c r="R137" s="572"/>
      <c r="S137" s="278"/>
      <c r="T137" s="299"/>
      <c r="U137" s="299"/>
      <c r="V137" s="283"/>
      <c r="W137" s="301"/>
      <c r="X137" s="381"/>
      <c r="Y137" s="655"/>
      <c r="Z137" s="634"/>
    </row>
    <row r="138" spans="1:26" s="378" customFormat="1" ht="32.25" customHeight="1" x14ac:dyDescent="0.2">
      <c r="A138" s="657"/>
      <c r="B138" s="686"/>
      <c r="C138" s="380"/>
      <c r="D138" s="283"/>
      <c r="E138" s="283"/>
      <c r="F138" s="283"/>
      <c r="G138" s="283"/>
      <c r="H138" s="283"/>
      <c r="I138" s="306" t="s">
        <v>219</v>
      </c>
      <c r="J138" s="292">
        <v>29110.45</v>
      </c>
      <c r="K138" s="573"/>
      <c r="L138" s="573"/>
      <c r="M138" s="292">
        <v>29110.45</v>
      </c>
      <c r="N138" s="573"/>
      <c r="O138" s="383"/>
      <c r="P138" s="573"/>
      <c r="Q138" s="573"/>
      <c r="R138" s="573"/>
      <c r="S138" s="278"/>
      <c r="T138" s="299"/>
      <c r="U138" s="299"/>
      <c r="V138" s="283"/>
      <c r="W138" s="301"/>
      <c r="X138" s="381"/>
      <c r="Y138" s="655"/>
      <c r="Z138" s="635"/>
    </row>
    <row r="139" spans="1:26" s="384" customFormat="1" ht="43.5" customHeight="1" x14ac:dyDescent="0.2">
      <c r="A139" s="741">
        <v>21</v>
      </c>
      <c r="B139" s="741" t="s">
        <v>140</v>
      </c>
      <c r="C139" s="380"/>
      <c r="D139" s="283"/>
      <c r="E139" s="283"/>
      <c r="F139" s="283"/>
      <c r="G139" s="283"/>
      <c r="H139" s="283"/>
      <c r="I139" s="306" t="s">
        <v>35</v>
      </c>
      <c r="J139" s="292">
        <v>720502.46</v>
      </c>
      <c r="K139" s="572">
        <f>J139+J140+J142+J143+J141</f>
        <v>1000000</v>
      </c>
      <c r="L139" s="572">
        <f>K139+K140+K142+K143+K141</f>
        <v>1000000</v>
      </c>
      <c r="M139" s="292">
        <v>720502.46</v>
      </c>
      <c r="N139" s="571">
        <f>M139+M142+M143+M141+M140</f>
        <v>1000000</v>
      </c>
      <c r="O139" s="375">
        <v>-131185</v>
      </c>
      <c r="P139" s="375"/>
      <c r="Q139" s="571">
        <v>0</v>
      </c>
      <c r="R139" s="375"/>
      <c r="S139" s="283" t="s">
        <v>142</v>
      </c>
      <c r="T139" s="318">
        <v>41954</v>
      </c>
      <c r="U139" s="299">
        <v>42050</v>
      </c>
      <c r="V139" s="283"/>
      <c r="W139" s="301">
        <v>1</v>
      </c>
      <c r="X139" s="377"/>
      <c r="Y139" s="651">
        <v>1</v>
      </c>
      <c r="Z139" s="619" t="s">
        <v>229</v>
      </c>
    </row>
    <row r="140" spans="1:26" s="384" customFormat="1" ht="43.5" customHeight="1" x14ac:dyDescent="0.2">
      <c r="A140" s="742"/>
      <c r="B140" s="742"/>
      <c r="C140" s="380"/>
      <c r="D140" s="283"/>
      <c r="E140" s="283"/>
      <c r="F140" s="283"/>
      <c r="G140" s="283"/>
      <c r="H140" s="283"/>
      <c r="I140" s="306" t="s">
        <v>114</v>
      </c>
      <c r="J140" s="292">
        <v>177670.89</v>
      </c>
      <c r="K140" s="572"/>
      <c r="L140" s="572"/>
      <c r="M140" s="292">
        <v>177670.89</v>
      </c>
      <c r="N140" s="572"/>
      <c r="O140" s="379"/>
      <c r="P140" s="379"/>
      <c r="Q140" s="572"/>
      <c r="R140" s="379"/>
      <c r="S140" s="283" t="s">
        <v>143</v>
      </c>
      <c r="T140" s="318">
        <v>42100</v>
      </c>
      <c r="U140" s="299">
        <v>42262</v>
      </c>
      <c r="V140" s="283"/>
      <c r="W140" s="301">
        <v>0.9</v>
      </c>
      <c r="X140" s="377"/>
      <c r="Y140" s="626"/>
      <c r="Z140" s="620"/>
    </row>
    <row r="141" spans="1:26" s="384" customFormat="1" ht="43.5" customHeight="1" x14ac:dyDescent="0.2">
      <c r="A141" s="742"/>
      <c r="B141" s="742"/>
      <c r="C141" s="380"/>
      <c r="D141" s="283"/>
      <c r="E141" s="283"/>
      <c r="F141" s="283"/>
      <c r="G141" s="283"/>
      <c r="H141" s="283"/>
      <c r="I141" s="306" t="s">
        <v>230</v>
      </c>
      <c r="J141" s="292">
        <v>74497.539999999994</v>
      </c>
      <c r="K141" s="572"/>
      <c r="L141" s="572"/>
      <c r="M141" s="292">
        <v>74497.539999999994</v>
      </c>
      <c r="N141" s="572"/>
      <c r="O141" s="379">
        <v>-2076</v>
      </c>
      <c r="P141" s="379">
        <v>866739</v>
      </c>
      <c r="Q141" s="572"/>
      <c r="R141" s="379">
        <v>133261</v>
      </c>
      <c r="S141" s="283"/>
      <c r="T141" s="318"/>
      <c r="U141" s="299"/>
      <c r="V141" s="283"/>
      <c r="W141" s="301"/>
      <c r="X141" s="377"/>
      <c r="Y141" s="626"/>
      <c r="Z141" s="620"/>
    </row>
    <row r="142" spans="1:26" s="384" customFormat="1" ht="43.5" customHeight="1" x14ac:dyDescent="0.2">
      <c r="A142" s="742"/>
      <c r="B142" s="742"/>
      <c r="C142" s="380"/>
      <c r="D142" s="283"/>
      <c r="E142" s="283"/>
      <c r="F142" s="283"/>
      <c r="G142" s="283"/>
      <c r="H142" s="283"/>
      <c r="I142" s="292" t="s">
        <v>219</v>
      </c>
      <c r="J142" s="292">
        <v>20951.64</v>
      </c>
      <c r="K142" s="572"/>
      <c r="L142" s="572"/>
      <c r="M142" s="282">
        <v>20951.64</v>
      </c>
      <c r="N142" s="572"/>
      <c r="O142" s="379"/>
      <c r="P142" s="379"/>
      <c r="Q142" s="572"/>
      <c r="R142" s="379"/>
      <c r="S142" s="283"/>
      <c r="T142" s="318"/>
      <c r="U142" s="299"/>
      <c r="V142" s="283"/>
      <c r="W142" s="301"/>
      <c r="X142" s="377"/>
      <c r="Y142" s="626"/>
      <c r="Z142" s="620"/>
    </row>
    <row r="143" spans="1:26" s="384" customFormat="1" ht="43.5" customHeight="1" x14ac:dyDescent="0.2">
      <c r="A143" s="742"/>
      <c r="B143" s="742"/>
      <c r="C143" s="380"/>
      <c r="D143" s="283"/>
      <c r="E143" s="283"/>
      <c r="F143" s="283"/>
      <c r="G143" s="283"/>
      <c r="H143" s="283"/>
      <c r="I143" s="292" t="s">
        <v>220</v>
      </c>
      <c r="J143" s="292">
        <v>6377.47</v>
      </c>
      <c r="K143" s="573"/>
      <c r="L143" s="573"/>
      <c r="M143" s="282">
        <v>6377.47</v>
      </c>
      <c r="N143" s="573"/>
      <c r="O143" s="383"/>
      <c r="P143" s="383"/>
      <c r="Q143" s="573"/>
      <c r="R143" s="383"/>
      <c r="S143" s="283"/>
      <c r="T143" s="318"/>
      <c r="U143" s="299"/>
      <c r="V143" s="283"/>
      <c r="W143" s="301"/>
      <c r="X143" s="377"/>
      <c r="Y143" s="628"/>
      <c r="Z143" s="621"/>
    </row>
    <row r="144" spans="1:26" s="378" customFormat="1" ht="42.75" customHeight="1" x14ac:dyDescent="0.2">
      <c r="A144" s="744">
        <v>22</v>
      </c>
      <c r="B144" s="745" t="s">
        <v>144</v>
      </c>
      <c r="C144" s="659">
        <v>1975</v>
      </c>
      <c r="D144" s="649" t="s">
        <v>145</v>
      </c>
      <c r="E144" s="649">
        <v>5</v>
      </c>
      <c r="F144" s="649">
        <v>4</v>
      </c>
      <c r="G144" s="649">
        <v>4354.3</v>
      </c>
      <c r="H144" s="649">
        <v>108</v>
      </c>
      <c r="I144" s="306" t="s">
        <v>64</v>
      </c>
      <c r="J144" s="292">
        <v>194988.73</v>
      </c>
      <c r="K144" s="571">
        <f>J144+J145+J146+J147+J148+J149+J150</f>
        <v>1000000</v>
      </c>
      <c r="L144" s="571" t="s">
        <v>278</v>
      </c>
      <c r="M144" s="292">
        <v>194988.73</v>
      </c>
      <c r="N144" s="571">
        <f>M144+M145+M146+M147+M148+M149+M150</f>
        <v>1000000</v>
      </c>
      <c r="O144" s="375"/>
      <c r="P144" s="571">
        <v>933363</v>
      </c>
      <c r="Q144" s="571">
        <v>0</v>
      </c>
      <c r="R144" s="571">
        <v>66637</v>
      </c>
      <c r="S144" s="586" t="s">
        <v>146</v>
      </c>
      <c r="T144" s="725">
        <v>41949</v>
      </c>
      <c r="U144" s="299">
        <v>42050</v>
      </c>
      <c r="V144" s="649" t="s">
        <v>147</v>
      </c>
      <c r="W144" s="301">
        <v>1</v>
      </c>
      <c r="X144" s="377"/>
      <c r="Y144" s="625">
        <f>AVERAGE(W144:W150)</f>
        <v>1</v>
      </c>
      <c r="Z144" s="633" t="s">
        <v>243</v>
      </c>
    </row>
    <row r="145" spans="1:26" s="378" customFormat="1" ht="89.25" customHeight="1" x14ac:dyDescent="0.2">
      <c r="A145" s="670"/>
      <c r="B145" s="592"/>
      <c r="C145" s="659"/>
      <c r="D145" s="649"/>
      <c r="E145" s="649"/>
      <c r="F145" s="649"/>
      <c r="G145" s="649"/>
      <c r="H145" s="649"/>
      <c r="I145" s="306" t="s">
        <v>226</v>
      </c>
      <c r="J145" s="292">
        <v>365143.88</v>
      </c>
      <c r="K145" s="572"/>
      <c r="L145" s="572"/>
      <c r="M145" s="292">
        <v>365143.88</v>
      </c>
      <c r="N145" s="572"/>
      <c r="O145" s="385">
        <v>-43843</v>
      </c>
      <c r="P145" s="572"/>
      <c r="Q145" s="572"/>
      <c r="R145" s="572"/>
      <c r="S145" s="592"/>
      <c r="T145" s="726"/>
      <c r="U145" s="329"/>
      <c r="V145" s="649"/>
      <c r="W145" s="301">
        <v>1</v>
      </c>
      <c r="X145" s="377"/>
      <c r="Y145" s="626"/>
      <c r="Z145" s="634"/>
    </row>
    <row r="146" spans="1:26" s="378" customFormat="1" ht="52.5" customHeight="1" x14ac:dyDescent="0.2">
      <c r="A146" s="670"/>
      <c r="B146" s="592"/>
      <c r="C146" s="281"/>
      <c r="D146" s="283"/>
      <c r="E146" s="283"/>
      <c r="F146" s="283"/>
      <c r="G146" s="283"/>
      <c r="H146" s="283"/>
      <c r="I146" s="306" t="s">
        <v>231</v>
      </c>
      <c r="J146" s="292">
        <v>197155.7</v>
      </c>
      <c r="K146" s="572"/>
      <c r="L146" s="572"/>
      <c r="M146" s="292">
        <v>197155.7</v>
      </c>
      <c r="N146" s="572"/>
      <c r="O146" s="385">
        <v>-22794</v>
      </c>
      <c r="P146" s="572"/>
      <c r="Q146" s="572"/>
      <c r="R146" s="572"/>
      <c r="S146" s="593"/>
      <c r="T146" s="727"/>
      <c r="U146" s="329">
        <v>42153</v>
      </c>
      <c r="V146" s="283"/>
      <c r="W146" s="301">
        <v>1</v>
      </c>
      <c r="X146" s="377"/>
      <c r="Y146" s="626"/>
      <c r="Z146" s="634"/>
    </row>
    <row r="147" spans="1:26" s="378" customFormat="1" ht="78" customHeight="1" x14ac:dyDescent="0.2">
      <c r="A147" s="670"/>
      <c r="B147" s="592"/>
      <c r="C147" s="281"/>
      <c r="D147" s="283"/>
      <c r="E147" s="283"/>
      <c r="F147" s="283"/>
      <c r="G147" s="283"/>
      <c r="H147" s="283"/>
      <c r="I147" s="306" t="s">
        <v>39</v>
      </c>
      <c r="J147" s="292">
        <v>73101.63</v>
      </c>
      <c r="K147" s="572"/>
      <c r="L147" s="572"/>
      <c r="M147" s="292">
        <v>73101.63</v>
      </c>
      <c r="N147" s="572"/>
      <c r="O147" s="386"/>
      <c r="P147" s="572"/>
      <c r="Q147" s="572"/>
      <c r="R147" s="572"/>
      <c r="S147" s="278" t="s">
        <v>40</v>
      </c>
      <c r="T147" s="299">
        <v>42100</v>
      </c>
      <c r="U147" s="299">
        <v>42130</v>
      </c>
      <c r="V147" s="283"/>
      <c r="W147" s="301">
        <v>1</v>
      </c>
      <c r="X147" s="377"/>
      <c r="Y147" s="626"/>
      <c r="Z147" s="634"/>
    </row>
    <row r="148" spans="1:26" s="378" customFormat="1" ht="38.25" customHeight="1" x14ac:dyDescent="0.2">
      <c r="A148" s="670"/>
      <c r="B148" s="592"/>
      <c r="C148" s="281"/>
      <c r="D148" s="283"/>
      <c r="E148" s="283"/>
      <c r="F148" s="283"/>
      <c r="G148" s="283"/>
      <c r="H148" s="283"/>
      <c r="I148" s="306" t="s">
        <v>219</v>
      </c>
      <c r="J148" s="292">
        <v>18898.37</v>
      </c>
      <c r="K148" s="572"/>
      <c r="L148" s="572"/>
      <c r="M148" s="292">
        <v>18898.37</v>
      </c>
      <c r="N148" s="572"/>
      <c r="O148" s="386"/>
      <c r="P148" s="572"/>
      <c r="Q148" s="572"/>
      <c r="R148" s="572"/>
      <c r="S148" s="278"/>
      <c r="T148" s="299"/>
      <c r="U148" s="299"/>
      <c r="V148" s="283"/>
      <c r="W148" s="301"/>
      <c r="X148" s="381"/>
      <c r="Y148" s="382"/>
      <c r="Z148" s="634"/>
    </row>
    <row r="149" spans="1:26" s="378" customFormat="1" ht="36" customHeight="1" x14ac:dyDescent="0.2">
      <c r="A149" s="670"/>
      <c r="B149" s="592"/>
      <c r="C149" s="281"/>
      <c r="D149" s="283"/>
      <c r="E149" s="283"/>
      <c r="F149" s="283"/>
      <c r="G149" s="283"/>
      <c r="H149" s="283"/>
      <c r="I149" s="312" t="s">
        <v>218</v>
      </c>
      <c r="J149" s="292">
        <v>98000</v>
      </c>
      <c r="K149" s="572"/>
      <c r="L149" s="572"/>
      <c r="M149" s="292">
        <v>98000</v>
      </c>
      <c r="N149" s="572"/>
      <c r="O149" s="386"/>
      <c r="P149" s="572"/>
      <c r="Q149" s="572"/>
      <c r="R149" s="572"/>
      <c r="S149" s="278"/>
      <c r="T149" s="299"/>
      <c r="U149" s="299"/>
      <c r="V149" s="283"/>
      <c r="W149" s="301"/>
      <c r="X149" s="381"/>
      <c r="Y149" s="382"/>
      <c r="Z149" s="635"/>
    </row>
    <row r="150" spans="1:26" s="378" customFormat="1" ht="71.25" customHeight="1" x14ac:dyDescent="0.2">
      <c r="A150" s="671"/>
      <c r="B150" s="593"/>
      <c r="C150" s="281"/>
      <c r="D150" s="283"/>
      <c r="E150" s="283"/>
      <c r="F150" s="283"/>
      <c r="G150" s="283"/>
      <c r="H150" s="283"/>
      <c r="I150" s="306" t="s">
        <v>246</v>
      </c>
      <c r="J150" s="292">
        <v>52711.69</v>
      </c>
      <c r="K150" s="573"/>
      <c r="L150" s="573"/>
      <c r="M150" s="292">
        <v>52711.69</v>
      </c>
      <c r="N150" s="573"/>
      <c r="O150" s="387"/>
      <c r="P150" s="578"/>
      <c r="Q150" s="578"/>
      <c r="R150" s="578"/>
      <c r="S150" s="278" t="s">
        <v>253</v>
      </c>
      <c r="T150" s="299"/>
      <c r="U150" s="299">
        <v>42217</v>
      </c>
      <c r="V150" s="283"/>
      <c r="W150" s="301">
        <v>1</v>
      </c>
      <c r="X150" s="381"/>
      <c r="Y150" s="382"/>
      <c r="Z150" s="289" t="s">
        <v>247</v>
      </c>
    </row>
    <row r="151" spans="1:26" s="390" customFormat="1" ht="51" customHeight="1" x14ac:dyDescent="0.2">
      <c r="A151" s="669">
        <v>23</v>
      </c>
      <c r="B151" s="586" t="s">
        <v>148</v>
      </c>
      <c r="C151" s="281">
        <v>1989</v>
      </c>
      <c r="D151" s="283" t="s">
        <v>149</v>
      </c>
      <c r="E151" s="283">
        <v>5</v>
      </c>
      <c r="F151" s="283">
        <v>11</v>
      </c>
      <c r="G151" s="283">
        <v>10709.5</v>
      </c>
      <c r="H151" s="283">
        <v>230</v>
      </c>
      <c r="I151" s="306" t="s">
        <v>37</v>
      </c>
      <c r="J151" s="292">
        <v>1759998.12</v>
      </c>
      <c r="K151" s="571">
        <f>J151+J152+J153+J154</f>
        <v>2000000.0000000002</v>
      </c>
      <c r="L151" s="571">
        <f>1994773.92+5226.08</f>
        <v>2000000</v>
      </c>
      <c r="M151" s="292">
        <v>1759998.12</v>
      </c>
      <c r="N151" s="571">
        <f>M151+M152+M153+M154</f>
        <v>2000000.0000000002</v>
      </c>
      <c r="O151" s="375">
        <v>-53704</v>
      </c>
      <c r="P151" s="571">
        <v>1946296</v>
      </c>
      <c r="Q151" s="571">
        <v>0</v>
      </c>
      <c r="R151" s="571">
        <v>53704</v>
      </c>
      <c r="S151" s="388" t="s">
        <v>150</v>
      </c>
      <c r="T151" s="389">
        <v>41932</v>
      </c>
      <c r="U151" s="389">
        <v>42004</v>
      </c>
      <c r="V151" s="283" t="s">
        <v>151</v>
      </c>
      <c r="W151" s="301">
        <v>1</v>
      </c>
      <c r="X151" s="336"/>
      <c r="Y151" s="640">
        <f>AVERAGE(W151:W151)</f>
        <v>1</v>
      </c>
      <c r="Z151" s="637" t="s">
        <v>232</v>
      </c>
    </row>
    <row r="152" spans="1:26" s="384" customFormat="1" ht="62.85" customHeight="1" x14ac:dyDescent="0.2">
      <c r="A152" s="670"/>
      <c r="B152" s="592"/>
      <c r="C152" s="281"/>
      <c r="D152" s="283"/>
      <c r="E152" s="283"/>
      <c r="F152" s="283"/>
      <c r="G152" s="283"/>
      <c r="H152" s="283"/>
      <c r="I152" s="306" t="s">
        <v>39</v>
      </c>
      <c r="J152" s="292">
        <v>5226.08</v>
      </c>
      <c r="K152" s="572"/>
      <c r="L152" s="572"/>
      <c r="M152" s="292">
        <v>5226.08</v>
      </c>
      <c r="N152" s="572"/>
      <c r="O152" s="379"/>
      <c r="P152" s="577"/>
      <c r="Q152" s="572"/>
      <c r="R152" s="572"/>
      <c r="S152" s="278" t="s">
        <v>40</v>
      </c>
      <c r="T152" s="299">
        <v>42100</v>
      </c>
      <c r="U152" s="299">
        <v>42130</v>
      </c>
      <c r="V152" s="283"/>
      <c r="W152" s="301">
        <v>1</v>
      </c>
      <c r="X152" s="336"/>
      <c r="Y152" s="641"/>
      <c r="Z152" s="638"/>
    </row>
    <row r="153" spans="1:26" s="384" customFormat="1" ht="62.85" customHeight="1" x14ac:dyDescent="0.2">
      <c r="A153" s="670"/>
      <c r="B153" s="592"/>
      <c r="C153" s="281"/>
      <c r="D153" s="283"/>
      <c r="E153" s="283"/>
      <c r="F153" s="283"/>
      <c r="G153" s="283"/>
      <c r="H153" s="283"/>
      <c r="I153" s="306" t="s">
        <v>219</v>
      </c>
      <c r="J153" s="292">
        <v>37775.800000000003</v>
      </c>
      <c r="K153" s="572"/>
      <c r="L153" s="572"/>
      <c r="M153" s="292">
        <v>37775.800000000003</v>
      </c>
      <c r="N153" s="572"/>
      <c r="O153" s="379"/>
      <c r="P153" s="577"/>
      <c r="Q153" s="572"/>
      <c r="R153" s="572"/>
      <c r="S153" s="278"/>
      <c r="T153" s="299"/>
      <c r="U153" s="299"/>
      <c r="V153" s="283"/>
      <c r="W153" s="301"/>
      <c r="X153" s="336"/>
      <c r="Y153" s="641"/>
      <c r="Z153" s="638"/>
    </row>
    <row r="154" spans="1:26" s="384" customFormat="1" ht="62.85" customHeight="1" x14ac:dyDescent="0.2">
      <c r="A154" s="671"/>
      <c r="B154" s="593"/>
      <c r="C154" s="281"/>
      <c r="D154" s="283"/>
      <c r="E154" s="283"/>
      <c r="F154" s="283"/>
      <c r="G154" s="283"/>
      <c r="H154" s="283"/>
      <c r="I154" s="312" t="s">
        <v>218</v>
      </c>
      <c r="J154" s="292">
        <v>197000</v>
      </c>
      <c r="K154" s="573"/>
      <c r="L154" s="573"/>
      <c r="M154" s="292">
        <v>197000</v>
      </c>
      <c r="N154" s="573"/>
      <c r="O154" s="383"/>
      <c r="P154" s="578"/>
      <c r="Q154" s="573"/>
      <c r="R154" s="573"/>
      <c r="S154" s="278"/>
      <c r="T154" s="299"/>
      <c r="U154" s="299"/>
      <c r="V154" s="283"/>
      <c r="W154" s="301"/>
      <c r="X154" s="336"/>
      <c r="Y154" s="642"/>
      <c r="Z154" s="639"/>
    </row>
    <row r="155" spans="1:26" s="370" customFormat="1" ht="66" customHeight="1" x14ac:dyDescent="0.2">
      <c r="A155" s="658" t="s">
        <v>152</v>
      </c>
      <c r="B155" s="658"/>
      <c r="C155" s="367" t="s">
        <v>126</v>
      </c>
      <c r="D155" s="367" t="s">
        <v>126</v>
      </c>
      <c r="E155" s="367" t="s">
        <v>126</v>
      </c>
      <c r="F155" s="367" t="s">
        <v>126</v>
      </c>
      <c r="G155" s="391">
        <v>23696.1</v>
      </c>
      <c r="H155" s="391">
        <f>SUM(H125:H151)</f>
        <v>444</v>
      </c>
      <c r="I155" s="367" t="s">
        <v>126</v>
      </c>
      <c r="J155" s="392">
        <f>SUM(J125:J152)</f>
        <v>6306636.1300000008</v>
      </c>
      <c r="K155" s="392">
        <f>SUM(K125:K151)</f>
        <v>6541411.9299999997</v>
      </c>
      <c r="L155" s="392">
        <f>SUM(L125:L151)</f>
        <v>5541411.9299999997</v>
      </c>
      <c r="M155" s="392">
        <f>SUM(M125:M154)</f>
        <v>6541411.9300000006</v>
      </c>
      <c r="N155" s="392">
        <f>SUM(N125:N151)</f>
        <v>5000000</v>
      </c>
      <c r="O155" s="392"/>
      <c r="P155" s="392">
        <f>SUM(P125:P154)</f>
        <v>6061749.9299999997</v>
      </c>
      <c r="Q155" s="392"/>
      <c r="R155" s="392"/>
      <c r="S155" s="367" t="s">
        <v>126</v>
      </c>
      <c r="T155" s="367" t="s">
        <v>126</v>
      </c>
      <c r="U155" s="367" t="s">
        <v>126</v>
      </c>
      <c r="V155" s="367" t="s">
        <v>126</v>
      </c>
      <c r="W155" s="367"/>
      <c r="X155" s="367" t="s">
        <v>126</v>
      </c>
      <c r="Y155" s="315">
        <f>AVERAGE(Y125:Y152)</f>
        <v>1</v>
      </c>
      <c r="Z155" s="369" t="s">
        <v>126</v>
      </c>
    </row>
    <row r="156" spans="1:26" s="290" customFormat="1" ht="42.75" customHeight="1" x14ac:dyDescent="0.2">
      <c r="A156" s="644" t="s">
        <v>153</v>
      </c>
      <c r="B156" s="644"/>
      <c r="C156" s="644"/>
      <c r="D156" s="644"/>
      <c r="E156" s="644"/>
      <c r="F156" s="644"/>
      <c r="G156" s="644"/>
      <c r="H156" s="644"/>
      <c r="I156" s="644"/>
      <c r="J156" s="644"/>
      <c r="K156" s="644"/>
      <c r="L156" s="644"/>
      <c r="M156" s="644"/>
      <c r="N156" s="644"/>
      <c r="O156" s="644"/>
      <c r="P156" s="644"/>
      <c r="Q156" s="644"/>
      <c r="R156" s="644"/>
      <c r="S156" s="644"/>
      <c r="T156" s="644"/>
      <c r="U156" s="644"/>
      <c r="V156" s="644"/>
      <c r="W156" s="367"/>
      <c r="X156" s="371"/>
      <c r="Y156" s="371"/>
      <c r="Z156" s="372"/>
    </row>
    <row r="157" spans="1:26" s="384" customFormat="1" ht="30.75" customHeight="1" x14ac:dyDescent="0.2">
      <c r="A157" s="669">
        <v>24</v>
      </c>
      <c r="B157" s="586" t="s">
        <v>154</v>
      </c>
      <c r="C157" s="659">
        <v>1981</v>
      </c>
      <c r="D157" s="649" t="s">
        <v>155</v>
      </c>
      <c r="E157" s="649">
        <v>5</v>
      </c>
      <c r="F157" s="649">
        <v>3</v>
      </c>
      <c r="G157" s="649">
        <v>4190</v>
      </c>
      <c r="H157" s="649">
        <v>310</v>
      </c>
      <c r="I157" s="283" t="s">
        <v>29</v>
      </c>
      <c r="J157" s="292">
        <v>97056.49</v>
      </c>
      <c r="K157" s="571">
        <f>SUM(J157:J163)</f>
        <v>1800000</v>
      </c>
      <c r="L157" s="571">
        <f>1796774.04+3225.96</f>
        <v>1800000</v>
      </c>
      <c r="M157" s="292"/>
      <c r="N157" s="571">
        <f>SUM(M157:M163)</f>
        <v>1800000</v>
      </c>
      <c r="O157" s="375"/>
      <c r="P157" s="571">
        <v>1800000</v>
      </c>
      <c r="Q157" s="571">
        <f>K157-L157</f>
        <v>0</v>
      </c>
      <c r="R157" s="571">
        <v>0</v>
      </c>
      <c r="S157" s="283"/>
      <c r="T157" s="318"/>
      <c r="U157" s="318"/>
      <c r="V157" s="654" t="s">
        <v>156</v>
      </c>
      <c r="W157" s="301"/>
      <c r="X157" s="283"/>
      <c r="Y157" s="625">
        <f>AVERAGE(W157:W160)</f>
        <v>1</v>
      </c>
      <c r="Z157" s="619" t="s">
        <v>232</v>
      </c>
    </row>
    <row r="158" spans="1:26" s="390" customFormat="1" ht="30.75" customHeight="1" x14ac:dyDescent="0.2">
      <c r="A158" s="670"/>
      <c r="B158" s="592"/>
      <c r="C158" s="659"/>
      <c r="D158" s="649"/>
      <c r="E158" s="649"/>
      <c r="F158" s="649"/>
      <c r="G158" s="649"/>
      <c r="H158" s="649"/>
      <c r="I158" s="283" t="s">
        <v>57</v>
      </c>
      <c r="J158" s="292">
        <v>647056.49</v>
      </c>
      <c r="K158" s="572"/>
      <c r="L158" s="572"/>
      <c r="M158" s="292">
        <v>795741.34</v>
      </c>
      <c r="N158" s="572"/>
      <c r="O158" s="379"/>
      <c r="P158" s="572"/>
      <c r="Q158" s="572"/>
      <c r="R158" s="572"/>
      <c r="S158" s="649" t="s">
        <v>157</v>
      </c>
      <c r="T158" s="650">
        <v>41941</v>
      </c>
      <c r="U158" s="318">
        <v>42063</v>
      </c>
      <c r="V158" s="654"/>
      <c r="W158" s="301">
        <v>1</v>
      </c>
      <c r="X158" s="283"/>
      <c r="Y158" s="626"/>
      <c r="Z158" s="620"/>
    </row>
    <row r="159" spans="1:26" s="390" customFormat="1" ht="30.75" customHeight="1" x14ac:dyDescent="0.2">
      <c r="A159" s="670"/>
      <c r="B159" s="592"/>
      <c r="C159" s="659"/>
      <c r="D159" s="649"/>
      <c r="E159" s="649"/>
      <c r="F159" s="649"/>
      <c r="G159" s="649"/>
      <c r="H159" s="649"/>
      <c r="I159" s="306" t="s">
        <v>37</v>
      </c>
      <c r="J159" s="292">
        <f>747056.49-3225.96</f>
        <v>743830.53</v>
      </c>
      <c r="K159" s="572"/>
      <c r="L159" s="572"/>
      <c r="M159" s="292">
        <v>789258.66</v>
      </c>
      <c r="N159" s="572"/>
      <c r="O159" s="379"/>
      <c r="P159" s="572"/>
      <c r="Q159" s="572"/>
      <c r="R159" s="572"/>
      <c r="S159" s="649"/>
      <c r="T159" s="650"/>
      <c r="U159" s="299">
        <v>42050</v>
      </c>
      <c r="V159" s="654"/>
      <c r="W159" s="301">
        <v>1</v>
      </c>
      <c r="X159" s="283"/>
      <c r="Y159" s="626"/>
      <c r="Z159" s="620"/>
    </row>
    <row r="160" spans="1:26" s="384" customFormat="1" ht="30.75" customHeight="1" x14ac:dyDescent="0.2">
      <c r="A160" s="670"/>
      <c r="B160" s="592"/>
      <c r="C160" s="659"/>
      <c r="D160" s="649"/>
      <c r="E160" s="649"/>
      <c r="F160" s="649"/>
      <c r="G160" s="649"/>
      <c r="H160" s="649"/>
      <c r="I160" s="306" t="s">
        <v>33</v>
      </c>
      <c r="J160" s="292">
        <v>97056.49</v>
      </c>
      <c r="K160" s="572"/>
      <c r="L160" s="572"/>
      <c r="M160" s="292"/>
      <c r="N160" s="572"/>
      <c r="O160" s="379"/>
      <c r="P160" s="572"/>
      <c r="Q160" s="572"/>
      <c r="R160" s="572"/>
      <c r="S160" s="283"/>
      <c r="T160" s="318"/>
      <c r="U160" s="318"/>
      <c r="V160" s="654"/>
      <c r="W160" s="301"/>
      <c r="X160" s="283"/>
      <c r="Y160" s="626"/>
      <c r="Z160" s="620"/>
    </row>
    <row r="161" spans="1:26" s="384" customFormat="1" ht="61.9" customHeight="1" x14ac:dyDescent="0.2">
      <c r="A161" s="670"/>
      <c r="B161" s="592"/>
      <c r="C161" s="281"/>
      <c r="D161" s="283"/>
      <c r="E161" s="283"/>
      <c r="F161" s="283"/>
      <c r="G161" s="283"/>
      <c r="H161" s="283"/>
      <c r="I161" s="306" t="s">
        <v>39</v>
      </c>
      <c r="J161" s="292">
        <v>3225.96</v>
      </c>
      <c r="K161" s="572"/>
      <c r="L161" s="572"/>
      <c r="M161" s="292">
        <v>3225.96</v>
      </c>
      <c r="N161" s="572"/>
      <c r="O161" s="379">
        <v>0</v>
      </c>
      <c r="P161" s="572"/>
      <c r="Q161" s="572"/>
      <c r="R161" s="572"/>
      <c r="S161" s="278" t="s">
        <v>40</v>
      </c>
      <c r="T161" s="299">
        <v>42100</v>
      </c>
      <c r="U161" s="299">
        <v>42130</v>
      </c>
      <c r="V161" s="283"/>
      <c r="W161" s="301">
        <v>1</v>
      </c>
      <c r="X161" s="283"/>
      <c r="Y161" s="626"/>
      <c r="Z161" s="620"/>
    </row>
    <row r="162" spans="1:26" s="384" customFormat="1" ht="35.25" customHeight="1" x14ac:dyDescent="0.2">
      <c r="A162" s="670"/>
      <c r="B162" s="592"/>
      <c r="C162" s="281"/>
      <c r="D162" s="283"/>
      <c r="E162" s="283"/>
      <c r="F162" s="283"/>
      <c r="G162" s="283"/>
      <c r="H162" s="283"/>
      <c r="I162" s="306" t="s">
        <v>219</v>
      </c>
      <c r="J162" s="292">
        <v>33774.04</v>
      </c>
      <c r="K162" s="572"/>
      <c r="L162" s="572"/>
      <c r="M162" s="292">
        <v>33774.04</v>
      </c>
      <c r="N162" s="572"/>
      <c r="O162" s="379"/>
      <c r="P162" s="572"/>
      <c r="Q162" s="572"/>
      <c r="R162" s="572"/>
      <c r="S162" s="278"/>
      <c r="T162" s="299"/>
      <c r="U162" s="299"/>
      <c r="V162" s="283"/>
      <c r="W162" s="301"/>
      <c r="X162" s="283"/>
      <c r="Y162" s="626"/>
      <c r="Z162" s="620"/>
    </row>
    <row r="163" spans="1:26" s="384" customFormat="1" ht="30.75" customHeight="1" x14ac:dyDescent="0.2">
      <c r="A163" s="671"/>
      <c r="B163" s="593"/>
      <c r="C163" s="281"/>
      <c r="D163" s="283"/>
      <c r="E163" s="283"/>
      <c r="F163" s="283"/>
      <c r="G163" s="283"/>
      <c r="H163" s="283"/>
      <c r="I163" s="312" t="s">
        <v>218</v>
      </c>
      <c r="J163" s="292">
        <v>178000</v>
      </c>
      <c r="K163" s="573"/>
      <c r="L163" s="573"/>
      <c r="M163" s="292">
        <v>178000</v>
      </c>
      <c r="N163" s="573"/>
      <c r="O163" s="383"/>
      <c r="P163" s="573"/>
      <c r="Q163" s="572"/>
      <c r="R163" s="572"/>
      <c r="S163" s="278"/>
      <c r="T163" s="299"/>
      <c r="U163" s="299"/>
      <c r="V163" s="283"/>
      <c r="W163" s="301"/>
      <c r="X163" s="283"/>
      <c r="Y163" s="628"/>
      <c r="Z163" s="621"/>
    </row>
    <row r="164" spans="1:26" s="384" customFormat="1" ht="32.25" customHeight="1" x14ac:dyDescent="0.2">
      <c r="A164" s="669">
        <v>25</v>
      </c>
      <c r="B164" s="586" t="s">
        <v>158</v>
      </c>
      <c r="C164" s="659">
        <v>1981</v>
      </c>
      <c r="D164" s="649" t="s">
        <v>155</v>
      </c>
      <c r="E164" s="649">
        <v>5</v>
      </c>
      <c r="F164" s="649">
        <v>4</v>
      </c>
      <c r="G164" s="649">
        <v>2950</v>
      </c>
      <c r="H164" s="649">
        <v>122</v>
      </c>
      <c r="I164" s="283" t="s">
        <v>29</v>
      </c>
      <c r="J164" s="292">
        <v>61364.800000000003</v>
      </c>
      <c r="K164" s="571">
        <f>J166+J168+J169+J170+J171+J172</f>
        <v>1650000</v>
      </c>
      <c r="L164" s="571">
        <f>1646176.03+3823.97</f>
        <v>1650000</v>
      </c>
      <c r="M164" s="292"/>
      <c r="N164" s="571">
        <f>SUM(M164:M174)</f>
        <v>1604384.4799999997</v>
      </c>
      <c r="O164" s="375"/>
      <c r="P164" s="601">
        <f>SUM(N164:O171)</f>
        <v>1594098.4799999997</v>
      </c>
      <c r="Q164" s="600">
        <v>45615.519999999997</v>
      </c>
      <c r="R164" s="600">
        <v>55901.52</v>
      </c>
      <c r="S164" s="351"/>
      <c r="T164" s="318"/>
      <c r="U164" s="394"/>
      <c r="V164" s="654" t="s">
        <v>156</v>
      </c>
      <c r="W164" s="301"/>
      <c r="X164" s="283"/>
      <c r="Y164" s="625">
        <f>AVERAGE(W164:W168)</f>
        <v>1</v>
      </c>
      <c r="Z164" s="619" t="s">
        <v>132</v>
      </c>
    </row>
    <row r="165" spans="1:26" s="384" customFormat="1" ht="32.25" customHeight="1" x14ac:dyDescent="0.2">
      <c r="A165" s="670"/>
      <c r="B165" s="592"/>
      <c r="C165" s="659"/>
      <c r="D165" s="649"/>
      <c r="E165" s="649"/>
      <c r="F165" s="649"/>
      <c r="G165" s="649"/>
      <c r="H165" s="649"/>
      <c r="I165" s="283" t="s">
        <v>57</v>
      </c>
      <c r="J165" s="292">
        <v>211364.8</v>
      </c>
      <c r="K165" s="572"/>
      <c r="L165" s="572"/>
      <c r="M165" s="292"/>
      <c r="N165" s="572"/>
      <c r="O165" s="379"/>
      <c r="P165" s="602"/>
      <c r="Q165" s="589"/>
      <c r="R165" s="589"/>
      <c r="S165" s="351"/>
      <c r="T165" s="318"/>
      <c r="U165" s="318"/>
      <c r="V165" s="654"/>
      <c r="W165" s="301"/>
      <c r="X165" s="283"/>
      <c r="Y165" s="626"/>
      <c r="Z165" s="620"/>
    </row>
    <row r="166" spans="1:26" s="390" customFormat="1" ht="54.4" customHeight="1" x14ac:dyDescent="0.2">
      <c r="A166" s="670"/>
      <c r="B166" s="592"/>
      <c r="C166" s="659"/>
      <c r="D166" s="649"/>
      <c r="E166" s="649"/>
      <c r="F166" s="649"/>
      <c r="G166" s="649"/>
      <c r="H166" s="649"/>
      <c r="I166" s="306" t="s">
        <v>37</v>
      </c>
      <c r="J166" s="292">
        <v>325737.96000000002</v>
      </c>
      <c r="K166" s="572"/>
      <c r="L166" s="572"/>
      <c r="M166" s="292">
        <v>325737.96000000002</v>
      </c>
      <c r="N166" s="572"/>
      <c r="O166" s="395">
        <v>-4160</v>
      </c>
      <c r="P166" s="602"/>
      <c r="Q166" s="589"/>
      <c r="R166" s="589"/>
      <c r="S166" s="351" t="s">
        <v>159</v>
      </c>
      <c r="T166" s="318">
        <v>41968</v>
      </c>
      <c r="U166" s="318">
        <v>42063</v>
      </c>
      <c r="V166" s="654"/>
      <c r="W166" s="301">
        <v>1</v>
      </c>
      <c r="X166" s="283"/>
      <c r="Y166" s="626"/>
      <c r="Z166" s="620"/>
    </row>
    <row r="167" spans="1:26" s="384" customFormat="1" ht="32.25" customHeight="1" x14ac:dyDescent="0.2">
      <c r="A167" s="670"/>
      <c r="B167" s="592"/>
      <c r="C167" s="659"/>
      <c r="D167" s="649"/>
      <c r="E167" s="649"/>
      <c r="F167" s="649"/>
      <c r="G167" s="649"/>
      <c r="H167" s="649"/>
      <c r="I167" s="306" t="s">
        <v>33</v>
      </c>
      <c r="J167" s="292">
        <v>61364.79</v>
      </c>
      <c r="K167" s="572"/>
      <c r="L167" s="572"/>
      <c r="M167" s="292"/>
      <c r="N167" s="572"/>
      <c r="O167" s="395"/>
      <c r="P167" s="602"/>
      <c r="Q167" s="589"/>
      <c r="R167" s="589"/>
      <c r="S167" s="351"/>
      <c r="T167" s="318"/>
      <c r="U167" s="318"/>
      <c r="V167" s="654"/>
      <c r="W167" s="301"/>
      <c r="X167" s="283"/>
      <c r="Y167" s="626"/>
      <c r="Z167" s="620"/>
    </row>
    <row r="168" spans="1:26" s="390" customFormat="1" ht="40.5" customHeight="1" x14ac:dyDescent="0.2">
      <c r="A168" s="670"/>
      <c r="B168" s="592"/>
      <c r="C168" s="659"/>
      <c r="D168" s="649"/>
      <c r="E168" s="649"/>
      <c r="F168" s="649"/>
      <c r="G168" s="649"/>
      <c r="H168" s="649"/>
      <c r="I168" s="283" t="s">
        <v>35</v>
      </c>
      <c r="J168" s="292">
        <v>766935.6</v>
      </c>
      <c r="K168" s="572"/>
      <c r="L168" s="572"/>
      <c r="M168" s="292">
        <v>766935.6</v>
      </c>
      <c r="N168" s="572"/>
      <c r="O168" s="395">
        <v>-6126</v>
      </c>
      <c r="P168" s="602"/>
      <c r="Q168" s="589"/>
      <c r="R168" s="589"/>
      <c r="S168" s="351" t="s">
        <v>160</v>
      </c>
      <c r="T168" s="318">
        <v>41957</v>
      </c>
      <c r="U168" s="299">
        <v>42050</v>
      </c>
      <c r="V168" s="654"/>
      <c r="W168" s="301">
        <v>1</v>
      </c>
      <c r="X168" s="283"/>
      <c r="Y168" s="626"/>
      <c r="Z168" s="620"/>
    </row>
    <row r="169" spans="1:26" s="390" customFormat="1" ht="67.150000000000006" customHeight="1" x14ac:dyDescent="0.2">
      <c r="A169" s="670"/>
      <c r="B169" s="592"/>
      <c r="C169" s="281"/>
      <c r="D169" s="283"/>
      <c r="E169" s="283"/>
      <c r="F169" s="283"/>
      <c r="G169" s="283"/>
      <c r="H169" s="283"/>
      <c r="I169" s="306" t="s">
        <v>39</v>
      </c>
      <c r="J169" s="292">
        <v>3823.97</v>
      </c>
      <c r="K169" s="572"/>
      <c r="L169" s="572"/>
      <c r="M169" s="292">
        <v>3823.97</v>
      </c>
      <c r="N169" s="572"/>
      <c r="O169" s="395"/>
      <c r="P169" s="602"/>
      <c r="Q169" s="589"/>
      <c r="R169" s="589"/>
      <c r="S169" s="352" t="s">
        <v>40</v>
      </c>
      <c r="T169" s="299">
        <v>42100</v>
      </c>
      <c r="U169" s="299">
        <v>42130</v>
      </c>
      <c r="V169" s="283"/>
      <c r="W169" s="301">
        <v>1</v>
      </c>
      <c r="X169" s="283"/>
      <c r="Y169" s="626"/>
      <c r="Z169" s="620"/>
    </row>
    <row r="170" spans="1:26" s="390" customFormat="1" ht="35.25" customHeight="1" x14ac:dyDescent="0.2">
      <c r="A170" s="670"/>
      <c r="B170" s="592"/>
      <c r="C170" s="281"/>
      <c r="D170" s="283"/>
      <c r="E170" s="283"/>
      <c r="F170" s="283"/>
      <c r="G170" s="283"/>
      <c r="H170" s="283"/>
      <c r="I170" s="306" t="s">
        <v>219</v>
      </c>
      <c r="J170" s="292">
        <v>31176.03</v>
      </c>
      <c r="K170" s="572"/>
      <c r="L170" s="572"/>
      <c r="M170" s="292">
        <v>31176.03</v>
      </c>
      <c r="N170" s="572"/>
      <c r="O170" s="728"/>
      <c r="P170" s="602"/>
      <c r="Q170" s="589"/>
      <c r="R170" s="589"/>
      <c r="S170" s="352"/>
      <c r="T170" s="299"/>
      <c r="U170" s="299"/>
      <c r="V170" s="283"/>
      <c r="W170" s="301"/>
      <c r="X170" s="283"/>
      <c r="Y170" s="626"/>
      <c r="Z170" s="620"/>
    </row>
    <row r="171" spans="1:26" s="390" customFormat="1" ht="36.75" customHeight="1" x14ac:dyDescent="0.2">
      <c r="A171" s="670"/>
      <c r="B171" s="592"/>
      <c r="C171" s="281"/>
      <c r="D171" s="283"/>
      <c r="E171" s="283"/>
      <c r="F171" s="283"/>
      <c r="G171" s="283"/>
      <c r="H171" s="283"/>
      <c r="I171" s="312" t="s">
        <v>218</v>
      </c>
      <c r="J171" s="292">
        <v>162000</v>
      </c>
      <c r="K171" s="572"/>
      <c r="L171" s="572"/>
      <c r="M171" s="292">
        <v>162000</v>
      </c>
      <c r="N171" s="572"/>
      <c r="O171" s="729"/>
      <c r="P171" s="602"/>
      <c r="Q171" s="589"/>
      <c r="R171" s="589"/>
      <c r="S171" s="352"/>
      <c r="T171" s="299"/>
      <c r="U171" s="299"/>
      <c r="V171" s="283"/>
      <c r="W171" s="301"/>
      <c r="X171" s="283"/>
      <c r="Y171" s="626"/>
      <c r="Z171" s="620"/>
    </row>
    <row r="172" spans="1:26" s="390" customFormat="1" ht="36.75" customHeight="1" x14ac:dyDescent="0.2">
      <c r="A172" s="670"/>
      <c r="B172" s="592"/>
      <c r="C172" s="281"/>
      <c r="D172" s="283"/>
      <c r="E172" s="283"/>
      <c r="F172" s="283"/>
      <c r="G172" s="283"/>
      <c r="H172" s="283"/>
      <c r="I172" s="598" t="s">
        <v>233</v>
      </c>
      <c r="J172" s="599">
        <v>360326.44</v>
      </c>
      <c r="K172" s="577"/>
      <c r="L172" s="577"/>
      <c r="M172" s="292">
        <v>97448.88</v>
      </c>
      <c r="N172" s="572"/>
      <c r="O172" s="729"/>
      <c r="P172" s="602"/>
      <c r="Q172" s="589"/>
      <c r="R172" s="589"/>
      <c r="S172" s="396"/>
      <c r="T172" s="299"/>
      <c r="U172" s="299"/>
      <c r="V172" s="283"/>
      <c r="W172" s="301"/>
      <c r="X172" s="283"/>
      <c r="Y172" s="626"/>
      <c r="Z172" s="620"/>
    </row>
    <row r="173" spans="1:26" s="390" customFormat="1" ht="36.75" customHeight="1" x14ac:dyDescent="0.2">
      <c r="A173" s="670"/>
      <c r="B173" s="592"/>
      <c r="C173" s="281"/>
      <c r="D173" s="283"/>
      <c r="E173" s="283"/>
      <c r="F173" s="283"/>
      <c r="G173" s="283"/>
      <c r="H173" s="283"/>
      <c r="I173" s="577"/>
      <c r="J173" s="577"/>
      <c r="K173" s="577"/>
      <c r="L173" s="577"/>
      <c r="M173" s="292">
        <v>124140.39</v>
      </c>
      <c r="N173" s="572"/>
      <c r="O173" s="729"/>
      <c r="P173" s="602"/>
      <c r="Q173" s="589"/>
      <c r="R173" s="589"/>
      <c r="S173" s="396"/>
      <c r="T173" s="299"/>
      <c r="U173" s="299"/>
      <c r="V173" s="283"/>
      <c r="W173" s="301"/>
      <c r="X173" s="283"/>
      <c r="Y173" s="626"/>
      <c r="Z173" s="620"/>
    </row>
    <row r="174" spans="1:26" s="390" customFormat="1" ht="85.5" customHeight="1" x14ac:dyDescent="0.2">
      <c r="A174" s="671"/>
      <c r="B174" s="593"/>
      <c r="C174" s="281"/>
      <c r="D174" s="283"/>
      <c r="E174" s="283"/>
      <c r="F174" s="283"/>
      <c r="G174" s="283"/>
      <c r="H174" s="283"/>
      <c r="I174" s="578"/>
      <c r="J174" s="578"/>
      <c r="K174" s="578"/>
      <c r="L174" s="578"/>
      <c r="M174" s="292">
        <v>93121.65</v>
      </c>
      <c r="N174" s="578"/>
      <c r="O174" s="730"/>
      <c r="P174" s="603"/>
      <c r="Q174" s="589"/>
      <c r="R174" s="589"/>
      <c r="S174" s="354" t="s">
        <v>252</v>
      </c>
      <c r="T174" s="299"/>
      <c r="U174" s="299">
        <v>42217</v>
      </c>
      <c r="V174" s="283"/>
      <c r="W174" s="301">
        <v>1</v>
      </c>
      <c r="X174" s="283"/>
      <c r="Y174" s="628"/>
      <c r="Z174" s="621"/>
    </row>
    <row r="175" spans="1:26" s="384" customFormat="1" ht="54" customHeight="1" x14ac:dyDescent="0.2">
      <c r="A175" s="669">
        <v>26</v>
      </c>
      <c r="B175" s="586" t="s">
        <v>161</v>
      </c>
      <c r="C175" s="649">
        <v>1984</v>
      </c>
      <c r="D175" s="649" t="s">
        <v>155</v>
      </c>
      <c r="E175" s="649">
        <v>5</v>
      </c>
      <c r="F175" s="649">
        <v>10</v>
      </c>
      <c r="G175" s="649">
        <v>6387</v>
      </c>
      <c r="H175" s="649">
        <v>297</v>
      </c>
      <c r="I175" s="283" t="s">
        <v>29</v>
      </c>
      <c r="J175" s="292">
        <v>686870</v>
      </c>
      <c r="K175" s="571">
        <f>J175+J177+J178+J181+J182+J183+J184</f>
        <v>3950000</v>
      </c>
      <c r="L175" s="571">
        <f>3532524.97+417475.03</f>
        <v>3950000</v>
      </c>
      <c r="M175" s="292">
        <f>636577.61+50292.39</f>
        <v>686870</v>
      </c>
      <c r="N175" s="571">
        <f>SUM(M175:M184)</f>
        <v>3950000</v>
      </c>
      <c r="O175" s="571">
        <v>0</v>
      </c>
      <c r="P175" s="571">
        <v>3950000</v>
      </c>
      <c r="Q175" s="572">
        <v>0</v>
      </c>
      <c r="R175" s="575">
        <v>0</v>
      </c>
      <c r="S175" s="283" t="s">
        <v>162</v>
      </c>
      <c r="T175" s="318">
        <v>41941</v>
      </c>
      <c r="U175" s="318">
        <v>42063</v>
      </c>
      <c r="V175" s="649" t="s">
        <v>156</v>
      </c>
      <c r="W175" s="301">
        <v>1</v>
      </c>
      <c r="X175" s="283"/>
      <c r="Y175" s="625">
        <f>AVERAGE(W175:W180)</f>
        <v>1</v>
      </c>
      <c r="Z175" s="619" t="s">
        <v>260</v>
      </c>
    </row>
    <row r="176" spans="1:26" s="384" customFormat="1" ht="36.75" customHeight="1" x14ac:dyDescent="0.2">
      <c r="A176" s="670"/>
      <c r="B176" s="592"/>
      <c r="C176" s="649"/>
      <c r="D176" s="649"/>
      <c r="E176" s="649"/>
      <c r="F176" s="649"/>
      <c r="G176" s="649"/>
      <c r="H176" s="649"/>
      <c r="I176" s="306" t="s">
        <v>64</v>
      </c>
      <c r="J176" s="292">
        <v>222079.18</v>
      </c>
      <c r="K176" s="572"/>
      <c r="L176" s="572"/>
      <c r="M176" s="292"/>
      <c r="N176" s="577"/>
      <c r="O176" s="577"/>
      <c r="P176" s="746"/>
      <c r="Q176" s="577"/>
      <c r="R176" s="597"/>
      <c r="S176" s="283"/>
      <c r="T176" s="318"/>
      <c r="U176" s="318"/>
      <c r="V176" s="649"/>
      <c r="W176" s="301"/>
      <c r="X176" s="283"/>
      <c r="Y176" s="626"/>
      <c r="Z176" s="620"/>
    </row>
    <row r="177" spans="1:26" s="384" customFormat="1" ht="36.75" customHeight="1" x14ac:dyDescent="0.2">
      <c r="A177" s="670"/>
      <c r="B177" s="592"/>
      <c r="C177" s="649"/>
      <c r="D177" s="649"/>
      <c r="E177" s="649"/>
      <c r="F177" s="649"/>
      <c r="G177" s="649"/>
      <c r="H177" s="649"/>
      <c r="I177" s="306" t="s">
        <v>37</v>
      </c>
      <c r="J177" s="292">
        <v>1300770.8600000001</v>
      </c>
      <c r="K177" s="572"/>
      <c r="L177" s="572"/>
      <c r="M177" s="292">
        <f>1183880.55+116890.31</f>
        <v>1300770.8600000001</v>
      </c>
      <c r="N177" s="577"/>
      <c r="O177" s="577"/>
      <c r="P177" s="746"/>
      <c r="Q177" s="577"/>
      <c r="R177" s="597"/>
      <c r="S177" s="649" t="s">
        <v>162</v>
      </c>
      <c r="T177" s="650">
        <v>41941</v>
      </c>
      <c r="U177" s="318">
        <v>42063</v>
      </c>
      <c r="V177" s="649"/>
      <c r="W177" s="301">
        <v>1</v>
      </c>
      <c r="X177" s="283"/>
      <c r="Y177" s="626"/>
      <c r="Z177" s="620"/>
    </row>
    <row r="178" spans="1:26" s="384" customFormat="1" ht="39" customHeight="1" x14ac:dyDescent="0.2">
      <c r="A178" s="670"/>
      <c r="B178" s="592"/>
      <c r="C178" s="649"/>
      <c r="D178" s="649"/>
      <c r="E178" s="649"/>
      <c r="F178" s="649"/>
      <c r="G178" s="649"/>
      <c r="H178" s="649"/>
      <c r="I178" s="306" t="s">
        <v>33</v>
      </c>
      <c r="J178" s="292">
        <v>645405.53</v>
      </c>
      <c r="K178" s="572"/>
      <c r="L178" s="572"/>
      <c r="M178" s="292">
        <f>561564.18+83841.35</f>
        <v>645405.53</v>
      </c>
      <c r="N178" s="577"/>
      <c r="O178" s="577"/>
      <c r="P178" s="746"/>
      <c r="Q178" s="577"/>
      <c r="R178" s="597"/>
      <c r="S178" s="649"/>
      <c r="T178" s="650"/>
      <c r="U178" s="318">
        <v>42063</v>
      </c>
      <c r="V178" s="649"/>
      <c r="W178" s="301">
        <v>1</v>
      </c>
      <c r="X178" s="283"/>
      <c r="Y178" s="626"/>
      <c r="Z178" s="620"/>
    </row>
    <row r="179" spans="1:26" s="390" customFormat="1" ht="24" customHeight="1" x14ac:dyDescent="0.2">
      <c r="A179" s="670"/>
      <c r="B179" s="592"/>
      <c r="C179" s="649"/>
      <c r="D179" s="649"/>
      <c r="E179" s="649"/>
      <c r="F179" s="649"/>
      <c r="G179" s="649"/>
      <c r="H179" s="649"/>
      <c r="I179" s="283" t="s">
        <v>43</v>
      </c>
      <c r="J179" s="292">
        <v>1272079.3400000001</v>
      </c>
      <c r="K179" s="572"/>
      <c r="L179" s="572"/>
      <c r="M179" s="292"/>
      <c r="N179" s="577"/>
      <c r="O179" s="577"/>
      <c r="P179" s="746"/>
      <c r="Q179" s="577"/>
      <c r="R179" s="597"/>
      <c r="S179" s="283"/>
      <c r="T179" s="318"/>
      <c r="U179" s="318"/>
      <c r="V179" s="649"/>
      <c r="W179" s="301"/>
      <c r="X179" s="283"/>
      <c r="Y179" s="626"/>
      <c r="Z179" s="620"/>
    </row>
    <row r="180" spans="1:26" s="384" customFormat="1" ht="29.25" customHeight="1" x14ac:dyDescent="0.2">
      <c r="A180" s="670"/>
      <c r="B180" s="592"/>
      <c r="C180" s="649"/>
      <c r="D180" s="649"/>
      <c r="E180" s="649"/>
      <c r="F180" s="649"/>
      <c r="G180" s="649"/>
      <c r="H180" s="649"/>
      <c r="I180" s="283" t="s">
        <v>35</v>
      </c>
      <c r="J180" s="292">
        <v>922079.17</v>
      </c>
      <c r="K180" s="572"/>
      <c r="L180" s="572"/>
      <c r="M180" s="292"/>
      <c r="N180" s="577"/>
      <c r="O180" s="577"/>
      <c r="P180" s="746"/>
      <c r="Q180" s="577"/>
      <c r="R180" s="597"/>
      <c r="S180" s="283"/>
      <c r="T180" s="318"/>
      <c r="U180" s="318"/>
      <c r="V180" s="649"/>
      <c r="W180" s="301"/>
      <c r="X180" s="283"/>
      <c r="Y180" s="626"/>
      <c r="Z180" s="620"/>
    </row>
    <row r="181" spans="1:26" s="384" customFormat="1" ht="43.5" customHeight="1" x14ac:dyDescent="0.2">
      <c r="A181" s="670"/>
      <c r="B181" s="592"/>
      <c r="C181" s="283"/>
      <c r="D181" s="283"/>
      <c r="E181" s="283"/>
      <c r="F181" s="283"/>
      <c r="G181" s="283"/>
      <c r="H181" s="283"/>
      <c r="I181" s="283" t="s">
        <v>60</v>
      </c>
      <c r="J181" s="292">
        <v>417475.03</v>
      </c>
      <c r="K181" s="572"/>
      <c r="L181" s="572"/>
      <c r="M181" s="292">
        <v>417475.03</v>
      </c>
      <c r="N181" s="577"/>
      <c r="O181" s="577"/>
      <c r="P181" s="746"/>
      <c r="Q181" s="577"/>
      <c r="R181" s="597"/>
      <c r="S181" s="283" t="s">
        <v>163</v>
      </c>
      <c r="T181" s="318">
        <v>42100</v>
      </c>
      <c r="U181" s="299">
        <v>42262</v>
      </c>
      <c r="V181" s="283"/>
      <c r="W181" s="301">
        <v>1</v>
      </c>
      <c r="X181" s="283"/>
      <c r="Y181" s="626"/>
      <c r="Z181" s="620"/>
    </row>
    <row r="182" spans="1:26" s="384" customFormat="1" ht="29.25" customHeight="1" x14ac:dyDescent="0.2">
      <c r="A182" s="670"/>
      <c r="B182" s="592"/>
      <c r="C182" s="283"/>
      <c r="D182" s="283"/>
      <c r="E182" s="283"/>
      <c r="F182" s="283"/>
      <c r="G182" s="283"/>
      <c r="H182" s="283"/>
      <c r="I182" s="292" t="s">
        <v>219</v>
      </c>
      <c r="J182" s="292">
        <v>74524.97</v>
      </c>
      <c r="K182" s="572"/>
      <c r="L182" s="572"/>
      <c r="M182" s="292">
        <v>74524.97</v>
      </c>
      <c r="N182" s="577"/>
      <c r="O182" s="577"/>
      <c r="P182" s="746"/>
      <c r="Q182" s="577"/>
      <c r="R182" s="597"/>
      <c r="S182" s="283"/>
      <c r="T182" s="318"/>
      <c r="U182" s="318"/>
      <c r="V182" s="283"/>
      <c r="W182" s="301"/>
      <c r="X182" s="283"/>
      <c r="Y182" s="626"/>
      <c r="Z182" s="620"/>
    </row>
    <row r="183" spans="1:26" s="384" customFormat="1" ht="31.5" customHeight="1" x14ac:dyDescent="0.2">
      <c r="A183" s="670"/>
      <c r="B183" s="592"/>
      <c r="C183" s="283"/>
      <c r="D183" s="283"/>
      <c r="E183" s="283"/>
      <c r="F183" s="283"/>
      <c r="G183" s="283"/>
      <c r="H183" s="283"/>
      <c r="I183" s="397" t="s">
        <v>218</v>
      </c>
      <c r="J183" s="292">
        <v>393000</v>
      </c>
      <c r="K183" s="572"/>
      <c r="L183" s="572"/>
      <c r="M183" s="292">
        <v>393000</v>
      </c>
      <c r="N183" s="577"/>
      <c r="O183" s="577"/>
      <c r="P183" s="746"/>
      <c r="Q183" s="577"/>
      <c r="R183" s="597"/>
      <c r="S183" s="283"/>
      <c r="T183" s="318"/>
      <c r="U183" s="318"/>
      <c r="V183" s="283"/>
      <c r="W183" s="301"/>
      <c r="X183" s="283"/>
      <c r="Y183" s="626"/>
      <c r="Z183" s="620"/>
    </row>
    <row r="184" spans="1:26" s="384" customFormat="1" ht="73.5" customHeight="1" x14ac:dyDescent="0.2">
      <c r="A184" s="671"/>
      <c r="B184" s="593"/>
      <c r="C184" s="283"/>
      <c r="D184" s="283"/>
      <c r="E184" s="283"/>
      <c r="F184" s="283"/>
      <c r="G184" s="283"/>
      <c r="H184" s="283"/>
      <c r="I184" s="292" t="s">
        <v>234</v>
      </c>
      <c r="J184" s="292">
        <v>431953.61</v>
      </c>
      <c r="K184" s="578"/>
      <c r="L184" s="578"/>
      <c r="M184" s="292">
        <v>431953.61</v>
      </c>
      <c r="N184" s="578"/>
      <c r="O184" s="578"/>
      <c r="P184" s="747"/>
      <c r="Q184" s="578"/>
      <c r="R184" s="576"/>
      <c r="S184" s="275" t="s">
        <v>254</v>
      </c>
      <c r="T184" s="318"/>
      <c r="U184" s="318">
        <v>42217</v>
      </c>
      <c r="V184" s="283"/>
      <c r="W184" s="301">
        <v>1</v>
      </c>
      <c r="X184" s="283"/>
      <c r="Y184" s="628"/>
      <c r="Z184" s="621"/>
    </row>
    <row r="185" spans="1:26" s="384" customFormat="1" ht="29.25" customHeight="1" x14ac:dyDescent="0.2">
      <c r="A185" s="669">
        <v>27</v>
      </c>
      <c r="B185" s="586" t="s">
        <v>164</v>
      </c>
      <c r="C185" s="649">
        <v>1984</v>
      </c>
      <c r="D185" s="649" t="s">
        <v>155</v>
      </c>
      <c r="E185" s="649">
        <v>5</v>
      </c>
      <c r="F185" s="649">
        <v>4</v>
      </c>
      <c r="G185" s="649">
        <v>2743</v>
      </c>
      <c r="H185" s="649">
        <v>127</v>
      </c>
      <c r="I185" s="306" t="s">
        <v>64</v>
      </c>
      <c r="J185" s="292">
        <v>100667.71</v>
      </c>
      <c r="K185" s="571">
        <f>J186+J187+J188+J190+J191+J192+J193</f>
        <v>2100000</v>
      </c>
      <c r="L185" s="571">
        <f>2097661.45+2338.55</f>
        <v>2100000</v>
      </c>
      <c r="M185" s="292"/>
      <c r="N185" s="574">
        <f>M185+M186+M187+M188+M189+M190+M191+M192+M193</f>
        <v>2100000</v>
      </c>
      <c r="O185" s="375"/>
      <c r="P185" s="604">
        <v>2087488</v>
      </c>
      <c r="Q185" s="571">
        <v>0</v>
      </c>
      <c r="R185" s="574">
        <v>12512</v>
      </c>
      <c r="S185" s="283"/>
      <c r="T185" s="318"/>
      <c r="U185" s="394"/>
      <c r="V185" s="649" t="s">
        <v>156</v>
      </c>
      <c r="W185" s="301"/>
      <c r="X185" s="283"/>
      <c r="Y185" s="625">
        <f>AVERAGE(W185:W189)</f>
        <v>1</v>
      </c>
      <c r="Z185" s="619" t="s">
        <v>242</v>
      </c>
    </row>
    <row r="186" spans="1:26" s="390" customFormat="1" ht="34.5" customHeight="1" x14ac:dyDescent="0.2">
      <c r="A186" s="670"/>
      <c r="B186" s="592"/>
      <c r="C186" s="649"/>
      <c r="D186" s="649"/>
      <c r="E186" s="649"/>
      <c r="F186" s="649"/>
      <c r="G186" s="649"/>
      <c r="H186" s="649"/>
      <c r="I186" s="306" t="s">
        <v>37</v>
      </c>
      <c r="J186" s="292">
        <v>773147.77</v>
      </c>
      <c r="K186" s="572"/>
      <c r="L186" s="572"/>
      <c r="M186" s="292">
        <v>773147.77</v>
      </c>
      <c r="N186" s="575"/>
      <c r="O186" s="379"/>
      <c r="P186" s="605"/>
      <c r="Q186" s="577"/>
      <c r="R186" s="597"/>
      <c r="S186" s="649" t="s">
        <v>165</v>
      </c>
      <c r="T186" s="650">
        <v>41968</v>
      </c>
      <c r="U186" s="318">
        <v>42063</v>
      </c>
      <c r="V186" s="649"/>
      <c r="W186" s="301">
        <v>1</v>
      </c>
      <c r="X186" s="283"/>
      <c r="Y186" s="626"/>
      <c r="Z186" s="620"/>
    </row>
    <row r="187" spans="1:26" s="390" customFormat="1" ht="37.5" customHeight="1" x14ac:dyDescent="0.2">
      <c r="A187" s="670"/>
      <c r="B187" s="592"/>
      <c r="C187" s="649"/>
      <c r="D187" s="649"/>
      <c r="E187" s="649"/>
      <c r="F187" s="649"/>
      <c r="G187" s="649"/>
      <c r="H187" s="649"/>
      <c r="I187" s="306" t="s">
        <v>33</v>
      </c>
      <c r="J187" s="292">
        <v>286723.34999999998</v>
      </c>
      <c r="K187" s="572"/>
      <c r="L187" s="572"/>
      <c r="M187" s="292">
        <v>286723.34999999998</v>
      </c>
      <c r="N187" s="575"/>
      <c r="O187" s="379"/>
      <c r="P187" s="605"/>
      <c r="Q187" s="577"/>
      <c r="R187" s="597"/>
      <c r="S187" s="649"/>
      <c r="T187" s="650"/>
      <c r="U187" s="318">
        <v>42063</v>
      </c>
      <c r="V187" s="649"/>
      <c r="W187" s="301">
        <v>1</v>
      </c>
      <c r="X187" s="283"/>
      <c r="Y187" s="626"/>
      <c r="Z187" s="620"/>
    </row>
    <row r="188" spans="1:26" s="390" customFormat="1" ht="39.75" customHeight="1" x14ac:dyDescent="0.2">
      <c r="A188" s="670"/>
      <c r="B188" s="592"/>
      <c r="C188" s="649"/>
      <c r="D188" s="649"/>
      <c r="E188" s="649"/>
      <c r="F188" s="649"/>
      <c r="G188" s="649"/>
      <c r="H188" s="649"/>
      <c r="I188" s="283" t="s">
        <v>35</v>
      </c>
      <c r="J188" s="292">
        <v>625399.52</v>
      </c>
      <c r="K188" s="572"/>
      <c r="L188" s="572"/>
      <c r="M188" s="292">
        <v>625399.52</v>
      </c>
      <c r="N188" s="575"/>
      <c r="O188" s="393">
        <v>-12512</v>
      </c>
      <c r="P188" s="605"/>
      <c r="Q188" s="577"/>
      <c r="R188" s="597"/>
      <c r="S188" s="283" t="s">
        <v>166</v>
      </c>
      <c r="T188" s="318">
        <v>41957</v>
      </c>
      <c r="U188" s="299">
        <v>42050</v>
      </c>
      <c r="V188" s="649"/>
      <c r="W188" s="301">
        <v>1</v>
      </c>
      <c r="X188" s="283"/>
      <c r="Y188" s="626"/>
      <c r="Z188" s="620"/>
    </row>
    <row r="189" spans="1:26" s="384" customFormat="1" ht="29.25" customHeight="1" x14ac:dyDescent="0.2">
      <c r="A189" s="670"/>
      <c r="B189" s="592"/>
      <c r="C189" s="649"/>
      <c r="D189" s="649"/>
      <c r="E189" s="649"/>
      <c r="F189" s="649"/>
      <c r="G189" s="649"/>
      <c r="H189" s="649"/>
      <c r="I189" s="283" t="s">
        <v>43</v>
      </c>
      <c r="J189" s="292">
        <v>750667.71</v>
      </c>
      <c r="K189" s="572"/>
      <c r="L189" s="572"/>
      <c r="M189" s="292"/>
      <c r="N189" s="575"/>
      <c r="O189" s="379"/>
      <c r="P189" s="605"/>
      <c r="Q189" s="577"/>
      <c r="R189" s="597"/>
      <c r="S189" s="283"/>
      <c r="T189" s="318"/>
      <c r="U189" s="318"/>
      <c r="V189" s="649"/>
      <c r="W189" s="301"/>
      <c r="X189" s="283"/>
      <c r="Y189" s="626"/>
      <c r="Z189" s="620"/>
    </row>
    <row r="190" spans="1:26" s="384" customFormat="1" ht="66" customHeight="1" x14ac:dyDescent="0.2">
      <c r="A190" s="670"/>
      <c r="B190" s="592"/>
      <c r="C190" s="283"/>
      <c r="D190" s="283"/>
      <c r="E190" s="283"/>
      <c r="F190" s="283"/>
      <c r="G190" s="283"/>
      <c r="H190" s="283"/>
      <c r="I190" s="306" t="s">
        <v>39</v>
      </c>
      <c r="J190" s="292">
        <v>2338.5500000000002</v>
      </c>
      <c r="K190" s="572"/>
      <c r="L190" s="572"/>
      <c r="M190" s="292">
        <v>2338.5500000000002</v>
      </c>
      <c r="N190" s="575"/>
      <c r="O190" s="379"/>
      <c r="P190" s="605"/>
      <c r="Q190" s="577"/>
      <c r="R190" s="597"/>
      <c r="S190" s="278" t="s">
        <v>40</v>
      </c>
      <c r="T190" s="299">
        <v>42100</v>
      </c>
      <c r="U190" s="299">
        <v>42130</v>
      </c>
      <c r="V190" s="283"/>
      <c r="W190" s="301">
        <v>1</v>
      </c>
      <c r="X190" s="283"/>
      <c r="Y190" s="626"/>
      <c r="Z190" s="620"/>
    </row>
    <row r="191" spans="1:26" s="384" customFormat="1" ht="33" customHeight="1" x14ac:dyDescent="0.2">
      <c r="A191" s="670"/>
      <c r="B191" s="592"/>
      <c r="C191" s="283"/>
      <c r="D191" s="283"/>
      <c r="E191" s="283"/>
      <c r="F191" s="283"/>
      <c r="G191" s="283"/>
      <c r="H191" s="283"/>
      <c r="I191" s="306" t="s">
        <v>219</v>
      </c>
      <c r="J191" s="292">
        <v>39661.449999999997</v>
      </c>
      <c r="K191" s="572"/>
      <c r="L191" s="572"/>
      <c r="M191" s="292">
        <v>39661.449999999997</v>
      </c>
      <c r="N191" s="575"/>
      <c r="O191" s="379"/>
      <c r="P191" s="605"/>
      <c r="Q191" s="577"/>
      <c r="R191" s="597"/>
      <c r="S191" s="278"/>
      <c r="T191" s="299"/>
      <c r="U191" s="299"/>
      <c r="V191" s="283"/>
      <c r="W191" s="301"/>
      <c r="X191" s="283"/>
      <c r="Y191" s="626"/>
      <c r="Z191" s="620"/>
    </row>
    <row r="192" spans="1:26" s="384" customFormat="1" ht="33" customHeight="1" x14ac:dyDescent="0.2">
      <c r="A192" s="670"/>
      <c r="B192" s="592"/>
      <c r="C192" s="283"/>
      <c r="D192" s="283"/>
      <c r="E192" s="283"/>
      <c r="F192" s="283"/>
      <c r="G192" s="283"/>
      <c r="H192" s="283"/>
      <c r="I192" s="312" t="s">
        <v>218</v>
      </c>
      <c r="J192" s="292">
        <v>207000</v>
      </c>
      <c r="K192" s="572"/>
      <c r="L192" s="572"/>
      <c r="M192" s="292">
        <v>207000</v>
      </c>
      <c r="N192" s="575"/>
      <c r="O192" s="379"/>
      <c r="P192" s="605"/>
      <c r="Q192" s="577"/>
      <c r="R192" s="597"/>
      <c r="S192" s="278"/>
      <c r="T192" s="299"/>
      <c r="U192" s="299"/>
      <c r="V192" s="283"/>
      <c r="W192" s="301"/>
      <c r="X192" s="283"/>
      <c r="Y192" s="626"/>
      <c r="Z192" s="620"/>
    </row>
    <row r="193" spans="1:29" s="384" customFormat="1" ht="69" customHeight="1" x14ac:dyDescent="0.2">
      <c r="A193" s="671"/>
      <c r="B193" s="593"/>
      <c r="C193" s="283"/>
      <c r="D193" s="283"/>
      <c r="E193" s="283"/>
      <c r="F193" s="283"/>
      <c r="G193" s="283"/>
      <c r="H193" s="283"/>
      <c r="I193" s="306" t="s">
        <v>235</v>
      </c>
      <c r="J193" s="292">
        <v>165729.35999999999</v>
      </c>
      <c r="K193" s="578"/>
      <c r="L193" s="578"/>
      <c r="M193" s="292">
        <v>165729.35999999999</v>
      </c>
      <c r="N193" s="576"/>
      <c r="O193" s="399"/>
      <c r="P193" s="606"/>
      <c r="Q193" s="578"/>
      <c r="R193" s="576"/>
      <c r="S193" s="275" t="s">
        <v>252</v>
      </c>
      <c r="T193" s="299"/>
      <c r="U193" s="299">
        <v>42217</v>
      </c>
      <c r="V193" s="283"/>
      <c r="W193" s="301">
        <v>1</v>
      </c>
      <c r="X193" s="283"/>
      <c r="Y193" s="628"/>
      <c r="Z193" s="621"/>
    </row>
    <row r="194" spans="1:29" s="384" customFormat="1" ht="30" customHeight="1" x14ac:dyDescent="0.2">
      <c r="A194" s="669">
        <v>28</v>
      </c>
      <c r="B194" s="586" t="s">
        <v>167</v>
      </c>
      <c r="C194" s="649">
        <v>1984</v>
      </c>
      <c r="D194" s="649" t="s">
        <v>155</v>
      </c>
      <c r="E194" s="649">
        <v>9</v>
      </c>
      <c r="F194" s="649">
        <v>2</v>
      </c>
      <c r="G194" s="649">
        <v>2400</v>
      </c>
      <c r="H194" s="649">
        <v>135</v>
      </c>
      <c r="I194" s="283" t="s">
        <v>29</v>
      </c>
      <c r="J194" s="292">
        <v>63350.32</v>
      </c>
      <c r="K194" s="571">
        <f>J195+J196+J198+J199+J200+J201+J202</f>
        <v>1550000</v>
      </c>
      <c r="L194" s="571">
        <f>1508248.48+41751.52</f>
        <v>1550000</v>
      </c>
      <c r="M194" s="292"/>
      <c r="N194" s="571">
        <f>M194+M195+M196+M197+M198+M199+M200+M201+M202</f>
        <v>1550000</v>
      </c>
      <c r="O194" s="607">
        <v>0</v>
      </c>
      <c r="P194" s="571">
        <v>1550000</v>
      </c>
      <c r="Q194" s="571">
        <f>K194-N194</f>
        <v>0</v>
      </c>
      <c r="R194" s="574">
        <v>0</v>
      </c>
      <c r="S194" s="283"/>
      <c r="T194" s="318"/>
      <c r="U194" s="394"/>
      <c r="V194" s="649" t="s">
        <v>156</v>
      </c>
      <c r="W194" s="301"/>
      <c r="X194" s="283"/>
      <c r="Y194" s="625">
        <f>AVERAGE(W194:W198)</f>
        <v>1</v>
      </c>
      <c r="Z194" s="619" t="s">
        <v>260</v>
      </c>
    </row>
    <row r="195" spans="1:29" s="390" customFormat="1" ht="28.5" customHeight="1" x14ac:dyDescent="0.2">
      <c r="A195" s="670"/>
      <c r="B195" s="592"/>
      <c r="C195" s="649"/>
      <c r="D195" s="649"/>
      <c r="E195" s="649"/>
      <c r="F195" s="649"/>
      <c r="G195" s="649"/>
      <c r="H195" s="649"/>
      <c r="I195" s="306" t="s">
        <v>37</v>
      </c>
      <c r="J195" s="292">
        <f>303510.85+34198.26</f>
        <v>337709.11</v>
      </c>
      <c r="K195" s="572"/>
      <c r="L195" s="572"/>
      <c r="M195" s="292">
        <f>303510.85+34198.26</f>
        <v>337709.11</v>
      </c>
      <c r="N195" s="572"/>
      <c r="O195" s="577"/>
      <c r="P195" s="572"/>
      <c r="Q195" s="572"/>
      <c r="R195" s="575"/>
      <c r="S195" s="649" t="s">
        <v>168</v>
      </c>
      <c r="T195" s="650">
        <v>41941</v>
      </c>
      <c r="U195" s="318">
        <v>42063</v>
      </c>
      <c r="V195" s="649"/>
      <c r="W195" s="301">
        <v>1</v>
      </c>
      <c r="X195" s="283"/>
      <c r="Y195" s="626"/>
      <c r="Z195" s="620"/>
    </row>
    <row r="196" spans="1:29" s="390" customFormat="1" ht="33" customHeight="1" x14ac:dyDescent="0.2">
      <c r="A196" s="670"/>
      <c r="B196" s="592"/>
      <c r="C196" s="649"/>
      <c r="D196" s="649"/>
      <c r="E196" s="649"/>
      <c r="F196" s="649"/>
      <c r="G196" s="649"/>
      <c r="H196" s="649"/>
      <c r="I196" s="306" t="s">
        <v>33</v>
      </c>
      <c r="J196" s="292">
        <f>112103.18+23480.04</f>
        <v>135583.22</v>
      </c>
      <c r="K196" s="572"/>
      <c r="L196" s="572"/>
      <c r="M196" s="292">
        <f>112103.18+23480.04</f>
        <v>135583.22</v>
      </c>
      <c r="N196" s="572"/>
      <c r="O196" s="577"/>
      <c r="P196" s="572"/>
      <c r="Q196" s="572"/>
      <c r="R196" s="575"/>
      <c r="S196" s="649"/>
      <c r="T196" s="650"/>
      <c r="U196" s="299">
        <v>42050</v>
      </c>
      <c r="V196" s="649"/>
      <c r="W196" s="301">
        <v>1</v>
      </c>
      <c r="X196" s="283"/>
      <c r="Y196" s="626"/>
      <c r="Z196" s="620"/>
    </row>
    <row r="197" spans="1:29" s="384" customFormat="1" ht="27" customHeight="1" x14ac:dyDescent="0.2">
      <c r="A197" s="670"/>
      <c r="B197" s="592"/>
      <c r="C197" s="649"/>
      <c r="D197" s="649"/>
      <c r="E197" s="649"/>
      <c r="F197" s="649"/>
      <c r="G197" s="649"/>
      <c r="H197" s="649"/>
      <c r="I197" s="283" t="s">
        <v>35</v>
      </c>
      <c r="J197" s="292">
        <v>313350.3</v>
      </c>
      <c r="K197" s="572"/>
      <c r="L197" s="572"/>
      <c r="M197" s="292"/>
      <c r="N197" s="572"/>
      <c r="O197" s="577"/>
      <c r="P197" s="572"/>
      <c r="Q197" s="572"/>
      <c r="R197" s="575"/>
      <c r="S197" s="283"/>
      <c r="T197" s="318"/>
      <c r="U197" s="318"/>
      <c r="V197" s="649"/>
      <c r="W197" s="301"/>
      <c r="X197" s="283"/>
      <c r="Y197" s="626"/>
      <c r="Z197" s="620"/>
    </row>
    <row r="198" spans="1:29" s="384" customFormat="1" ht="32.25" customHeight="1" x14ac:dyDescent="0.2">
      <c r="A198" s="670"/>
      <c r="B198" s="592"/>
      <c r="C198" s="649"/>
      <c r="D198" s="649"/>
      <c r="E198" s="649"/>
      <c r="F198" s="649"/>
      <c r="G198" s="649"/>
      <c r="H198" s="649"/>
      <c r="I198" s="283" t="s">
        <v>43</v>
      </c>
      <c r="J198" s="292">
        <v>779690.88</v>
      </c>
      <c r="K198" s="572"/>
      <c r="L198" s="572"/>
      <c r="M198" s="292">
        <v>779690.88</v>
      </c>
      <c r="N198" s="572"/>
      <c r="O198" s="577"/>
      <c r="P198" s="572"/>
      <c r="Q198" s="572"/>
      <c r="R198" s="575"/>
      <c r="S198" s="283" t="s">
        <v>168</v>
      </c>
      <c r="T198" s="318">
        <v>41941</v>
      </c>
      <c r="U198" s="299">
        <v>42050</v>
      </c>
      <c r="V198" s="649"/>
      <c r="W198" s="301">
        <v>1</v>
      </c>
      <c r="X198" s="283"/>
      <c r="Y198" s="626"/>
      <c r="Z198" s="620"/>
    </row>
    <row r="199" spans="1:29" s="384" customFormat="1" ht="65.099999999999994" customHeight="1" x14ac:dyDescent="0.2">
      <c r="A199" s="670"/>
      <c r="B199" s="592"/>
      <c r="C199" s="283"/>
      <c r="D199" s="283"/>
      <c r="E199" s="283"/>
      <c r="F199" s="283"/>
      <c r="G199" s="283"/>
      <c r="H199" s="283"/>
      <c r="I199" s="306" t="s">
        <v>39</v>
      </c>
      <c r="J199" s="292">
        <v>41751.519999999997</v>
      </c>
      <c r="K199" s="572"/>
      <c r="L199" s="572"/>
      <c r="M199" s="292">
        <v>41751.519999999997</v>
      </c>
      <c r="N199" s="572"/>
      <c r="O199" s="577"/>
      <c r="P199" s="572"/>
      <c r="Q199" s="572"/>
      <c r="R199" s="575"/>
      <c r="S199" s="278" t="s">
        <v>40</v>
      </c>
      <c r="T199" s="299">
        <v>42100</v>
      </c>
      <c r="U199" s="299">
        <v>42130</v>
      </c>
      <c r="V199" s="283"/>
      <c r="W199" s="301">
        <v>1</v>
      </c>
      <c r="X199" s="283"/>
      <c r="Y199" s="626"/>
      <c r="Z199" s="620"/>
    </row>
    <row r="200" spans="1:29" s="384" customFormat="1" ht="30.75" customHeight="1" x14ac:dyDescent="0.2">
      <c r="A200" s="670"/>
      <c r="B200" s="592"/>
      <c r="C200" s="283"/>
      <c r="D200" s="283"/>
      <c r="E200" s="283"/>
      <c r="F200" s="283"/>
      <c r="G200" s="283"/>
      <c r="H200" s="283"/>
      <c r="I200" s="306" t="s">
        <v>219</v>
      </c>
      <c r="J200" s="292">
        <v>29248.48</v>
      </c>
      <c r="K200" s="572"/>
      <c r="L200" s="572"/>
      <c r="M200" s="292">
        <v>29248.48</v>
      </c>
      <c r="N200" s="572"/>
      <c r="O200" s="577"/>
      <c r="P200" s="572"/>
      <c r="Q200" s="572"/>
      <c r="R200" s="575"/>
      <c r="S200" s="278"/>
      <c r="T200" s="299"/>
      <c r="U200" s="299"/>
      <c r="V200" s="283"/>
      <c r="W200" s="301"/>
      <c r="X200" s="283"/>
      <c r="Y200" s="626"/>
      <c r="Z200" s="620"/>
    </row>
    <row r="201" spans="1:29" s="384" customFormat="1" ht="31.5" customHeight="1" x14ac:dyDescent="0.2">
      <c r="A201" s="670"/>
      <c r="B201" s="592"/>
      <c r="C201" s="283"/>
      <c r="D201" s="283"/>
      <c r="E201" s="283"/>
      <c r="F201" s="283"/>
      <c r="G201" s="283"/>
      <c r="H201" s="283"/>
      <c r="I201" s="312" t="s">
        <v>218</v>
      </c>
      <c r="J201" s="292">
        <v>154000</v>
      </c>
      <c r="K201" s="572"/>
      <c r="L201" s="572"/>
      <c r="M201" s="292">
        <v>154000</v>
      </c>
      <c r="N201" s="572"/>
      <c r="O201" s="577"/>
      <c r="P201" s="572"/>
      <c r="Q201" s="572"/>
      <c r="R201" s="575"/>
      <c r="S201" s="278"/>
      <c r="T201" s="299"/>
      <c r="U201" s="299"/>
      <c r="V201" s="283"/>
      <c r="W201" s="301"/>
      <c r="X201" s="283"/>
      <c r="Y201" s="626"/>
      <c r="Z201" s="620"/>
    </row>
    <row r="202" spans="1:29" s="384" customFormat="1" ht="71.25" customHeight="1" x14ac:dyDescent="0.2">
      <c r="A202" s="671"/>
      <c r="B202" s="593"/>
      <c r="C202" s="283"/>
      <c r="D202" s="283"/>
      <c r="E202" s="283"/>
      <c r="F202" s="283"/>
      <c r="G202" s="283"/>
      <c r="H202" s="283"/>
      <c r="I202" s="306" t="s">
        <v>236</v>
      </c>
      <c r="J202" s="292">
        <v>72016.789999999994</v>
      </c>
      <c r="K202" s="573"/>
      <c r="L202" s="573"/>
      <c r="M202" s="292">
        <v>72016.789999999994</v>
      </c>
      <c r="N202" s="573"/>
      <c r="O202" s="578"/>
      <c r="P202" s="573"/>
      <c r="Q202" s="573"/>
      <c r="R202" s="608"/>
      <c r="S202" s="275" t="s">
        <v>252</v>
      </c>
      <c r="T202" s="299"/>
      <c r="U202" s="299">
        <v>42217</v>
      </c>
      <c r="V202" s="283"/>
      <c r="W202" s="301">
        <v>10</v>
      </c>
      <c r="X202" s="283"/>
      <c r="Y202" s="628"/>
      <c r="Z202" s="621"/>
    </row>
    <row r="203" spans="1:29" s="384" customFormat="1" ht="31.5" customHeight="1" x14ac:dyDescent="0.2">
      <c r="A203" s="669">
        <v>29</v>
      </c>
      <c r="B203" s="586" t="s">
        <v>169</v>
      </c>
      <c r="C203" s="659">
        <v>1987</v>
      </c>
      <c r="D203" s="649" t="s">
        <v>155</v>
      </c>
      <c r="E203" s="649">
        <v>5</v>
      </c>
      <c r="F203" s="649">
        <v>6</v>
      </c>
      <c r="G203" s="649">
        <v>4325.8500000000004</v>
      </c>
      <c r="H203" s="649">
        <v>141</v>
      </c>
      <c r="I203" s="283" t="s">
        <v>57</v>
      </c>
      <c r="J203" s="292">
        <v>64428.79</v>
      </c>
      <c r="K203" s="571">
        <f>J203+J204+J206+J208+J209</f>
        <v>1750000</v>
      </c>
      <c r="L203" s="571">
        <f>1386040.73+363959.27</f>
        <v>1750000</v>
      </c>
      <c r="M203" s="292">
        <v>64428.79</v>
      </c>
      <c r="N203" s="571">
        <f>SUM(M203:M209)</f>
        <v>1707195.43</v>
      </c>
      <c r="O203" s="571">
        <v>0</v>
      </c>
      <c r="P203" s="571">
        <v>1707195.43</v>
      </c>
      <c r="Q203" s="571">
        <v>42804.57</v>
      </c>
      <c r="R203" s="571">
        <v>42804.57</v>
      </c>
      <c r="S203" s="649" t="s">
        <v>170</v>
      </c>
      <c r="T203" s="650">
        <v>41941</v>
      </c>
      <c r="U203" s="318">
        <v>42063</v>
      </c>
      <c r="V203" s="654" t="s">
        <v>156</v>
      </c>
      <c r="W203" s="301">
        <v>1</v>
      </c>
      <c r="X203" s="283"/>
      <c r="Y203" s="625">
        <f>AVERAGE(W203:W206)</f>
        <v>1</v>
      </c>
      <c r="Z203" s="619" t="s">
        <v>260</v>
      </c>
    </row>
    <row r="204" spans="1:29" s="384" customFormat="1" ht="45.75" customHeight="1" x14ac:dyDescent="0.2">
      <c r="A204" s="670"/>
      <c r="B204" s="592"/>
      <c r="C204" s="659"/>
      <c r="D204" s="649"/>
      <c r="E204" s="649"/>
      <c r="F204" s="649"/>
      <c r="G204" s="649"/>
      <c r="H204" s="649"/>
      <c r="I204" s="306" t="s">
        <v>37</v>
      </c>
      <c r="J204" s="292">
        <v>669617.53</v>
      </c>
      <c r="K204" s="572"/>
      <c r="L204" s="572"/>
      <c r="M204" s="292">
        <v>669617.53</v>
      </c>
      <c r="N204" s="572"/>
      <c r="O204" s="577"/>
      <c r="P204" s="572"/>
      <c r="Q204" s="572"/>
      <c r="R204" s="577"/>
      <c r="S204" s="649"/>
      <c r="T204" s="650"/>
      <c r="U204" s="299">
        <v>42050</v>
      </c>
      <c r="V204" s="654"/>
      <c r="W204" s="301">
        <v>1</v>
      </c>
      <c r="X204" s="283"/>
      <c r="Y204" s="626"/>
      <c r="Z204" s="620"/>
    </row>
    <row r="205" spans="1:29" s="384" customFormat="1" ht="22.5" customHeight="1" x14ac:dyDescent="0.2">
      <c r="A205" s="670"/>
      <c r="B205" s="592"/>
      <c r="C205" s="659"/>
      <c r="D205" s="649"/>
      <c r="E205" s="649"/>
      <c r="F205" s="649"/>
      <c r="G205" s="649"/>
      <c r="H205" s="649"/>
      <c r="I205" s="306" t="s">
        <v>35</v>
      </c>
      <c r="J205" s="292">
        <v>1281319.77</v>
      </c>
      <c r="K205" s="572"/>
      <c r="L205" s="572"/>
      <c r="M205" s="292"/>
      <c r="N205" s="572"/>
      <c r="O205" s="577"/>
      <c r="P205" s="572"/>
      <c r="Q205" s="572"/>
      <c r="R205" s="577"/>
      <c r="S205" s="283"/>
      <c r="T205" s="318"/>
      <c r="U205" s="318"/>
      <c r="V205" s="654"/>
      <c r="W205" s="301"/>
      <c r="X205" s="283"/>
      <c r="Y205" s="626"/>
      <c r="Z205" s="620"/>
    </row>
    <row r="206" spans="1:29" s="384" customFormat="1" ht="87.75" customHeight="1" x14ac:dyDescent="0.2">
      <c r="A206" s="670"/>
      <c r="B206" s="592"/>
      <c r="C206" s="281"/>
      <c r="D206" s="283"/>
      <c r="E206" s="283"/>
      <c r="F206" s="283"/>
      <c r="G206" s="283"/>
      <c r="H206" s="283"/>
      <c r="I206" s="598" t="s">
        <v>267</v>
      </c>
      <c r="J206" s="599">
        <f>363959.27+445953.68</f>
        <v>809912.95</v>
      </c>
      <c r="K206" s="572"/>
      <c r="L206" s="572"/>
      <c r="M206" s="292">
        <v>321154.7</v>
      </c>
      <c r="N206" s="572"/>
      <c r="O206" s="577"/>
      <c r="P206" s="572"/>
      <c r="Q206" s="572"/>
      <c r="R206" s="577"/>
      <c r="S206" s="283" t="s">
        <v>171</v>
      </c>
      <c r="T206" s="318">
        <v>42100</v>
      </c>
      <c r="U206" s="299">
        <v>42262</v>
      </c>
      <c r="V206" s="300"/>
      <c r="W206" s="301">
        <v>1</v>
      </c>
      <c r="X206" s="283"/>
      <c r="Y206" s="626"/>
      <c r="Z206" s="620"/>
      <c r="AC206" s="400"/>
    </row>
    <row r="207" spans="1:29" s="384" customFormat="1" ht="48" customHeight="1" x14ac:dyDescent="0.2">
      <c r="A207" s="670"/>
      <c r="B207" s="592"/>
      <c r="C207" s="281"/>
      <c r="D207" s="283"/>
      <c r="E207" s="283"/>
      <c r="F207" s="283"/>
      <c r="G207" s="283"/>
      <c r="H207" s="283"/>
      <c r="I207" s="578"/>
      <c r="J207" s="578"/>
      <c r="K207" s="572"/>
      <c r="L207" s="572"/>
      <c r="M207" s="292">
        <v>445953.68</v>
      </c>
      <c r="N207" s="572"/>
      <c r="O207" s="577"/>
      <c r="P207" s="572"/>
      <c r="Q207" s="572"/>
      <c r="R207" s="577"/>
      <c r="S207" s="283" t="s">
        <v>170</v>
      </c>
      <c r="T207" s="318"/>
      <c r="U207" s="299"/>
      <c r="V207" s="300"/>
      <c r="W207" s="301"/>
      <c r="X207" s="283"/>
      <c r="Y207" s="626"/>
      <c r="Z207" s="620"/>
      <c r="AC207" s="400"/>
    </row>
    <row r="208" spans="1:29" s="384" customFormat="1" ht="37.35" customHeight="1" x14ac:dyDescent="0.2">
      <c r="A208" s="670"/>
      <c r="B208" s="592"/>
      <c r="C208" s="281"/>
      <c r="D208" s="283"/>
      <c r="E208" s="283"/>
      <c r="F208" s="283"/>
      <c r="G208" s="283"/>
      <c r="H208" s="283"/>
      <c r="I208" s="283" t="s">
        <v>219</v>
      </c>
      <c r="J208" s="283">
        <v>33040.730000000003</v>
      </c>
      <c r="K208" s="572"/>
      <c r="L208" s="572"/>
      <c r="M208" s="292">
        <v>33040.730000000003</v>
      </c>
      <c r="N208" s="572"/>
      <c r="O208" s="577"/>
      <c r="P208" s="572"/>
      <c r="Q208" s="572"/>
      <c r="R208" s="577"/>
      <c r="S208" s="283"/>
      <c r="T208" s="318"/>
      <c r="U208" s="318"/>
      <c r="V208" s="300"/>
      <c r="W208" s="301"/>
      <c r="X208" s="283"/>
      <c r="Y208" s="626"/>
      <c r="Z208" s="620"/>
    </row>
    <row r="209" spans="1:26" s="384" customFormat="1" ht="37.35" customHeight="1" x14ac:dyDescent="0.2">
      <c r="A209" s="670"/>
      <c r="B209" s="592"/>
      <c r="C209" s="281"/>
      <c r="D209" s="283"/>
      <c r="E209" s="283"/>
      <c r="F209" s="283"/>
      <c r="G209" s="283"/>
      <c r="H209" s="283"/>
      <c r="I209" s="401" t="s">
        <v>218</v>
      </c>
      <c r="J209" s="283">
        <v>173000</v>
      </c>
      <c r="K209" s="573"/>
      <c r="L209" s="573"/>
      <c r="M209" s="292">
        <v>173000</v>
      </c>
      <c r="N209" s="573"/>
      <c r="O209" s="578"/>
      <c r="P209" s="573"/>
      <c r="Q209" s="573"/>
      <c r="R209" s="578"/>
      <c r="S209" s="283"/>
      <c r="T209" s="318"/>
      <c r="U209" s="318"/>
      <c r="V209" s="300"/>
      <c r="W209" s="301"/>
      <c r="X209" s="283"/>
      <c r="Y209" s="628"/>
      <c r="Z209" s="620"/>
    </row>
    <row r="210" spans="1:26" s="384" customFormat="1" ht="22.5" customHeight="1" x14ac:dyDescent="0.2">
      <c r="A210" s="669">
        <v>30</v>
      </c>
      <c r="B210" s="586" t="s">
        <v>172</v>
      </c>
      <c r="C210" s="659">
        <v>1967</v>
      </c>
      <c r="D210" s="649" t="s">
        <v>155</v>
      </c>
      <c r="E210" s="649">
        <v>5</v>
      </c>
      <c r="F210" s="649">
        <v>4</v>
      </c>
      <c r="G210" s="649">
        <v>2667.8</v>
      </c>
      <c r="H210" s="649">
        <v>117</v>
      </c>
      <c r="I210" s="306" t="s">
        <v>35</v>
      </c>
      <c r="J210" s="292">
        <v>611836.68999999994</v>
      </c>
      <c r="K210" s="571">
        <f>J211+J212+J213+J214+J215</f>
        <v>1500000</v>
      </c>
      <c r="L210" s="571">
        <f>706326.61+793673.39</f>
        <v>1500000</v>
      </c>
      <c r="M210" s="292"/>
      <c r="N210" s="571">
        <f>SUM(M210:M215)</f>
        <v>1500000</v>
      </c>
      <c r="O210" s="571">
        <v>0</v>
      </c>
      <c r="P210" s="571">
        <v>1500000</v>
      </c>
      <c r="Q210" s="571">
        <f>K210-N210</f>
        <v>0</v>
      </c>
      <c r="R210" s="571">
        <v>0</v>
      </c>
      <c r="S210" s="283"/>
      <c r="T210" s="318"/>
      <c r="U210" s="394"/>
      <c r="V210" s="654" t="s">
        <v>156</v>
      </c>
      <c r="W210" s="301"/>
      <c r="X210" s="283"/>
      <c r="Y210" s="625">
        <f>AVERAGE(W210:W215)</f>
        <v>1</v>
      </c>
      <c r="Z210" s="619" t="s">
        <v>261</v>
      </c>
    </row>
    <row r="211" spans="1:26" s="384" customFormat="1" ht="31.5" customHeight="1" x14ac:dyDescent="0.2">
      <c r="A211" s="670"/>
      <c r="B211" s="592"/>
      <c r="C211" s="659"/>
      <c r="D211" s="649"/>
      <c r="E211" s="649"/>
      <c r="F211" s="649"/>
      <c r="G211" s="649"/>
      <c r="H211" s="649"/>
      <c r="I211" s="283" t="s">
        <v>43</v>
      </c>
      <c r="J211" s="292">
        <v>425748.33</v>
      </c>
      <c r="K211" s="572"/>
      <c r="L211" s="572"/>
      <c r="M211" s="292">
        <v>425748.33</v>
      </c>
      <c r="N211" s="572"/>
      <c r="O211" s="577"/>
      <c r="P211" s="572"/>
      <c r="Q211" s="572"/>
      <c r="R211" s="577"/>
      <c r="S211" s="283" t="s">
        <v>173</v>
      </c>
      <c r="T211" s="318">
        <v>41950</v>
      </c>
      <c r="U211" s="318">
        <v>42077</v>
      </c>
      <c r="V211" s="654"/>
      <c r="W211" s="301">
        <v>1</v>
      </c>
      <c r="X211" s="283"/>
      <c r="Y211" s="626"/>
      <c r="Z211" s="620"/>
    </row>
    <row r="212" spans="1:26" s="384" customFormat="1" ht="34.5" customHeight="1" x14ac:dyDescent="0.2">
      <c r="A212" s="670"/>
      <c r="B212" s="592"/>
      <c r="C212" s="281"/>
      <c r="D212" s="283"/>
      <c r="E212" s="283"/>
      <c r="F212" s="283"/>
      <c r="G212" s="283"/>
      <c r="H212" s="283"/>
      <c r="I212" s="283" t="s">
        <v>282</v>
      </c>
      <c r="J212" s="292">
        <f>793673.39</f>
        <v>793673.39</v>
      </c>
      <c r="K212" s="572"/>
      <c r="L212" s="572"/>
      <c r="M212" s="292">
        <v>793673.39</v>
      </c>
      <c r="N212" s="572"/>
      <c r="O212" s="577"/>
      <c r="P212" s="572"/>
      <c r="Q212" s="572"/>
      <c r="R212" s="577"/>
      <c r="S212" s="283" t="s">
        <v>174</v>
      </c>
      <c r="T212" s="318">
        <v>42100</v>
      </c>
      <c r="U212" s="299">
        <v>42262</v>
      </c>
      <c r="V212" s="300"/>
      <c r="W212" s="301">
        <v>1</v>
      </c>
      <c r="X212" s="283"/>
      <c r="Y212" s="626"/>
      <c r="Z212" s="620"/>
    </row>
    <row r="213" spans="1:26" s="384" customFormat="1" ht="34.5" customHeight="1" x14ac:dyDescent="0.2">
      <c r="A213" s="670"/>
      <c r="B213" s="592"/>
      <c r="C213" s="281"/>
      <c r="D213" s="283"/>
      <c r="E213" s="283"/>
      <c r="F213" s="283"/>
      <c r="G213" s="283"/>
      <c r="H213" s="283"/>
      <c r="I213" s="283" t="s">
        <v>219</v>
      </c>
      <c r="J213" s="292">
        <v>28326.61</v>
      </c>
      <c r="K213" s="572"/>
      <c r="L213" s="572"/>
      <c r="M213" s="292">
        <v>28326.61</v>
      </c>
      <c r="N213" s="572"/>
      <c r="O213" s="577"/>
      <c r="P213" s="572"/>
      <c r="Q213" s="572"/>
      <c r="R213" s="577"/>
      <c r="S213" s="283"/>
      <c r="T213" s="318"/>
      <c r="U213" s="318"/>
      <c r="V213" s="300"/>
      <c r="W213" s="301"/>
      <c r="X213" s="283"/>
      <c r="Y213" s="626"/>
      <c r="Z213" s="620"/>
    </row>
    <row r="214" spans="1:26" s="384" customFormat="1" ht="34.5" customHeight="1" x14ac:dyDescent="0.2">
      <c r="A214" s="670"/>
      <c r="B214" s="592"/>
      <c r="C214" s="281"/>
      <c r="D214" s="283"/>
      <c r="E214" s="283"/>
      <c r="F214" s="283"/>
      <c r="G214" s="283"/>
      <c r="H214" s="283"/>
      <c r="I214" s="401" t="s">
        <v>218</v>
      </c>
      <c r="J214" s="292">
        <v>148000</v>
      </c>
      <c r="K214" s="572"/>
      <c r="L214" s="572"/>
      <c r="M214" s="292">
        <v>148000</v>
      </c>
      <c r="N214" s="572"/>
      <c r="O214" s="577"/>
      <c r="P214" s="572"/>
      <c r="Q214" s="572"/>
      <c r="R214" s="577"/>
      <c r="S214" s="283"/>
      <c r="T214" s="318"/>
      <c r="U214" s="318"/>
      <c r="V214" s="300"/>
      <c r="W214" s="301"/>
      <c r="X214" s="283"/>
      <c r="Y214" s="626"/>
      <c r="Z214" s="620"/>
    </row>
    <row r="215" spans="1:26" s="384" customFormat="1" ht="34.5" customHeight="1" x14ac:dyDescent="0.2">
      <c r="A215" s="671"/>
      <c r="B215" s="593"/>
      <c r="C215" s="281"/>
      <c r="D215" s="283"/>
      <c r="E215" s="283"/>
      <c r="F215" s="283"/>
      <c r="G215" s="283"/>
      <c r="H215" s="283"/>
      <c r="I215" s="283" t="s">
        <v>283</v>
      </c>
      <c r="J215" s="292">
        <v>104251.67</v>
      </c>
      <c r="K215" s="573"/>
      <c r="L215" s="573"/>
      <c r="M215" s="292">
        <v>104251.67</v>
      </c>
      <c r="N215" s="573"/>
      <c r="O215" s="578"/>
      <c r="P215" s="573"/>
      <c r="Q215" s="573"/>
      <c r="R215" s="578"/>
      <c r="S215" s="283" t="s">
        <v>173</v>
      </c>
      <c r="T215" s="318"/>
      <c r="U215" s="318">
        <v>42262</v>
      </c>
      <c r="V215" s="300"/>
      <c r="W215" s="301">
        <v>1</v>
      </c>
      <c r="X215" s="283"/>
      <c r="Y215" s="628"/>
      <c r="Z215" s="621"/>
    </row>
    <row r="216" spans="1:26" s="390" customFormat="1" ht="41.25" customHeight="1" x14ac:dyDescent="0.2">
      <c r="A216" s="669">
        <v>31</v>
      </c>
      <c r="B216" s="586" t="s">
        <v>175</v>
      </c>
      <c r="C216" s="659">
        <v>1982</v>
      </c>
      <c r="D216" s="649" t="s">
        <v>155</v>
      </c>
      <c r="E216" s="649">
        <v>5</v>
      </c>
      <c r="F216" s="649">
        <v>6</v>
      </c>
      <c r="G216" s="649">
        <v>6086.6</v>
      </c>
      <c r="H216" s="649">
        <v>184</v>
      </c>
      <c r="I216" s="306" t="s">
        <v>35</v>
      </c>
      <c r="J216" s="292">
        <v>953735.67</v>
      </c>
      <c r="K216" s="571">
        <f>J216+J218+J219+J220+J221</f>
        <v>1300000</v>
      </c>
      <c r="L216" s="571">
        <f>1297555.32+2444.68</f>
        <v>1300000</v>
      </c>
      <c r="M216" s="292">
        <v>953735.67</v>
      </c>
      <c r="N216" s="571">
        <f>M216+M217+M218+M219+M220+M221</f>
        <v>1300000</v>
      </c>
      <c r="O216" s="571">
        <v>0</v>
      </c>
      <c r="P216" s="571">
        <v>1300000</v>
      </c>
      <c r="Q216" s="571">
        <f>K216-N216</f>
        <v>0</v>
      </c>
      <c r="R216" s="574">
        <v>0</v>
      </c>
      <c r="S216" s="283" t="s">
        <v>176</v>
      </c>
      <c r="T216" s="318">
        <v>41941</v>
      </c>
      <c r="U216" s="299">
        <v>42050</v>
      </c>
      <c r="V216" s="300" t="s">
        <v>156</v>
      </c>
      <c r="W216" s="301">
        <v>1</v>
      </c>
      <c r="X216" s="283"/>
      <c r="Y216" s="625">
        <f>AVERAGE(W216:W217)</f>
        <v>1</v>
      </c>
      <c r="Z216" s="619" t="s">
        <v>242</v>
      </c>
    </row>
    <row r="217" spans="1:26" s="384" customFormat="1" ht="21.75" customHeight="1" x14ac:dyDescent="0.2">
      <c r="A217" s="670"/>
      <c r="B217" s="592"/>
      <c r="C217" s="659"/>
      <c r="D217" s="649"/>
      <c r="E217" s="649"/>
      <c r="F217" s="649"/>
      <c r="G217" s="649"/>
      <c r="H217" s="649"/>
      <c r="I217" s="306" t="s">
        <v>43</v>
      </c>
      <c r="J217" s="292">
        <v>223722.34</v>
      </c>
      <c r="K217" s="572"/>
      <c r="L217" s="572"/>
      <c r="M217" s="292"/>
      <c r="N217" s="572"/>
      <c r="O217" s="577"/>
      <c r="P217" s="572"/>
      <c r="Q217" s="572"/>
      <c r="R217" s="575"/>
      <c r="S217" s="283"/>
      <c r="T217" s="318"/>
      <c r="U217" s="318"/>
      <c r="V217" s="300" t="s">
        <v>156</v>
      </c>
      <c r="W217" s="301"/>
      <c r="X217" s="283"/>
      <c r="Y217" s="626"/>
      <c r="Z217" s="620"/>
    </row>
    <row r="218" spans="1:26" s="384" customFormat="1" ht="60.75" customHeight="1" x14ac:dyDescent="0.2">
      <c r="A218" s="670"/>
      <c r="B218" s="592"/>
      <c r="C218" s="281"/>
      <c r="D218" s="283"/>
      <c r="E218" s="283"/>
      <c r="F218" s="283"/>
      <c r="G218" s="283"/>
      <c r="H218" s="283"/>
      <c r="I218" s="306" t="s">
        <v>39</v>
      </c>
      <c r="J218" s="292">
        <v>2444.6799999999998</v>
      </c>
      <c r="K218" s="572"/>
      <c r="L218" s="572"/>
      <c r="M218" s="292">
        <v>2444.6799999999998</v>
      </c>
      <c r="N218" s="572"/>
      <c r="O218" s="577"/>
      <c r="P218" s="572"/>
      <c r="Q218" s="572"/>
      <c r="R218" s="575"/>
      <c r="S218" s="278" t="s">
        <v>40</v>
      </c>
      <c r="T218" s="299">
        <v>42100</v>
      </c>
      <c r="U218" s="299">
        <v>42130</v>
      </c>
      <c r="V218" s="283"/>
      <c r="W218" s="301">
        <v>1</v>
      </c>
      <c r="X218" s="283"/>
      <c r="Y218" s="626"/>
      <c r="Z218" s="620"/>
    </row>
    <row r="219" spans="1:26" s="384" customFormat="1" ht="27.75" customHeight="1" x14ac:dyDescent="0.2">
      <c r="A219" s="670"/>
      <c r="B219" s="592"/>
      <c r="C219" s="281"/>
      <c r="D219" s="283"/>
      <c r="E219" s="283"/>
      <c r="F219" s="283"/>
      <c r="G219" s="283"/>
      <c r="H219" s="283"/>
      <c r="I219" s="306" t="s">
        <v>219</v>
      </c>
      <c r="J219" s="292">
        <v>24555.32</v>
      </c>
      <c r="K219" s="572"/>
      <c r="L219" s="572"/>
      <c r="M219" s="292">
        <v>24555.32</v>
      </c>
      <c r="N219" s="572"/>
      <c r="O219" s="577"/>
      <c r="P219" s="572"/>
      <c r="Q219" s="572"/>
      <c r="R219" s="575"/>
      <c r="S219" s="278"/>
      <c r="T219" s="299"/>
      <c r="U219" s="299"/>
      <c r="V219" s="283"/>
      <c r="W219" s="301"/>
      <c r="X219" s="283"/>
      <c r="Y219" s="626"/>
      <c r="Z219" s="620"/>
    </row>
    <row r="220" spans="1:26" s="384" customFormat="1" ht="30" customHeight="1" x14ac:dyDescent="0.2">
      <c r="A220" s="670"/>
      <c r="B220" s="592"/>
      <c r="C220" s="281"/>
      <c r="D220" s="283"/>
      <c r="E220" s="283"/>
      <c r="F220" s="283"/>
      <c r="G220" s="283"/>
      <c r="H220" s="283"/>
      <c r="I220" s="312" t="s">
        <v>218</v>
      </c>
      <c r="J220" s="292">
        <v>128000</v>
      </c>
      <c r="K220" s="572"/>
      <c r="L220" s="572"/>
      <c r="M220" s="292">
        <v>128000</v>
      </c>
      <c r="N220" s="572"/>
      <c r="O220" s="577"/>
      <c r="P220" s="572"/>
      <c r="Q220" s="572"/>
      <c r="R220" s="575"/>
      <c r="S220" s="278"/>
      <c r="T220" s="299"/>
      <c r="U220" s="299"/>
      <c r="V220" s="283"/>
      <c r="W220" s="301"/>
      <c r="X220" s="283"/>
      <c r="Y220" s="626"/>
      <c r="Z220" s="620"/>
    </row>
    <row r="221" spans="1:26" s="384" customFormat="1" ht="67.5" customHeight="1" x14ac:dyDescent="0.2">
      <c r="A221" s="671"/>
      <c r="B221" s="593"/>
      <c r="C221" s="281"/>
      <c r="D221" s="283"/>
      <c r="E221" s="283"/>
      <c r="F221" s="283"/>
      <c r="G221" s="283"/>
      <c r="H221" s="283"/>
      <c r="I221" s="306" t="s">
        <v>234</v>
      </c>
      <c r="J221" s="292">
        <v>191264.33</v>
      </c>
      <c r="K221" s="573"/>
      <c r="L221" s="573"/>
      <c r="M221" s="292">
        <v>191264.33</v>
      </c>
      <c r="N221" s="573"/>
      <c r="O221" s="578"/>
      <c r="P221" s="573"/>
      <c r="Q221" s="573"/>
      <c r="R221" s="608"/>
      <c r="S221" s="275" t="s">
        <v>252</v>
      </c>
      <c r="T221" s="299"/>
      <c r="U221" s="299">
        <v>42217</v>
      </c>
      <c r="V221" s="283"/>
      <c r="W221" s="301">
        <v>1</v>
      </c>
      <c r="X221" s="283"/>
      <c r="Y221" s="628"/>
      <c r="Z221" s="621"/>
    </row>
    <row r="222" spans="1:26" s="390" customFormat="1" ht="36" customHeight="1" x14ac:dyDescent="0.2">
      <c r="A222" s="669">
        <v>32</v>
      </c>
      <c r="B222" s="586" t="s">
        <v>177</v>
      </c>
      <c r="C222" s="649">
        <v>1988</v>
      </c>
      <c r="D222" s="649" t="s">
        <v>155</v>
      </c>
      <c r="E222" s="649">
        <v>9</v>
      </c>
      <c r="F222" s="649">
        <v>7</v>
      </c>
      <c r="G222" s="649">
        <v>8309.4</v>
      </c>
      <c r="H222" s="649">
        <v>320</v>
      </c>
      <c r="I222" s="283" t="s">
        <v>57</v>
      </c>
      <c r="J222" s="292">
        <v>260848.31</v>
      </c>
      <c r="K222" s="571">
        <f>J222+J223+J224+J225+J226+J227+J228</f>
        <v>2005883.0500000003</v>
      </c>
      <c r="L222" s="571">
        <f>2002836.2+3046.85</f>
        <v>2005883.05</v>
      </c>
      <c r="M222" s="292">
        <v>260848.31</v>
      </c>
      <c r="N222" s="571">
        <f>M222+M223+M224+M225+M226+M227+M228</f>
        <v>2005883.0500000003</v>
      </c>
      <c r="O222" s="375"/>
      <c r="P222" s="375"/>
      <c r="Q222" s="571">
        <v>0</v>
      </c>
      <c r="R222" s="375"/>
      <c r="S222" s="649" t="s">
        <v>178</v>
      </c>
      <c r="T222" s="650">
        <v>41934</v>
      </c>
      <c r="U222" s="299">
        <v>42050</v>
      </c>
      <c r="V222" s="649" t="s">
        <v>156</v>
      </c>
      <c r="W222" s="301">
        <v>1</v>
      </c>
      <c r="X222" s="283"/>
      <c r="Y222" s="625">
        <f>AVERAGE(W222:W224)</f>
        <v>1</v>
      </c>
      <c r="Z222" s="619" t="s">
        <v>242</v>
      </c>
    </row>
    <row r="223" spans="1:26" s="390" customFormat="1" ht="36" customHeight="1" x14ac:dyDescent="0.2">
      <c r="A223" s="670"/>
      <c r="B223" s="592"/>
      <c r="C223" s="649"/>
      <c r="D223" s="649"/>
      <c r="E223" s="649"/>
      <c r="F223" s="649"/>
      <c r="G223" s="649"/>
      <c r="H223" s="649"/>
      <c r="I223" s="306" t="s">
        <v>33</v>
      </c>
      <c r="J223" s="292">
        <v>482368.42</v>
      </c>
      <c r="K223" s="572"/>
      <c r="L223" s="572"/>
      <c r="M223" s="292">
        <f>447881.13+34487.29</f>
        <v>482368.42</v>
      </c>
      <c r="N223" s="572"/>
      <c r="O223" s="379"/>
      <c r="P223" s="379"/>
      <c r="Q223" s="572"/>
      <c r="R223" s="379"/>
      <c r="S223" s="649"/>
      <c r="T223" s="650"/>
      <c r="U223" s="299">
        <v>42050</v>
      </c>
      <c r="V223" s="649"/>
      <c r="W223" s="301">
        <v>1</v>
      </c>
      <c r="X223" s="283"/>
      <c r="Y223" s="626"/>
      <c r="Z223" s="620"/>
    </row>
    <row r="224" spans="1:26" s="390" customFormat="1" ht="23.25" customHeight="1" x14ac:dyDescent="0.2">
      <c r="A224" s="670"/>
      <c r="B224" s="592"/>
      <c r="C224" s="649"/>
      <c r="D224" s="649"/>
      <c r="E224" s="649"/>
      <c r="F224" s="649"/>
      <c r="G224" s="649"/>
      <c r="H224" s="649"/>
      <c r="I224" s="283" t="s">
        <v>43</v>
      </c>
      <c r="J224" s="292">
        <v>581614.87</v>
      </c>
      <c r="K224" s="572"/>
      <c r="L224" s="572"/>
      <c r="M224" s="292">
        <v>581614.87</v>
      </c>
      <c r="N224" s="572"/>
      <c r="O224" s="379">
        <v>-13073</v>
      </c>
      <c r="P224" s="379"/>
      <c r="Q224" s="572"/>
      <c r="R224" s="379"/>
      <c r="S224" s="649"/>
      <c r="T224" s="650"/>
      <c r="U224" s="299">
        <v>42050</v>
      </c>
      <c r="V224" s="649"/>
      <c r="W224" s="301">
        <v>1</v>
      </c>
      <c r="X224" s="283"/>
      <c r="Y224" s="626"/>
      <c r="Z224" s="620"/>
    </row>
    <row r="225" spans="1:26" s="390" customFormat="1" ht="66" customHeight="1" x14ac:dyDescent="0.2">
      <c r="A225" s="670"/>
      <c r="B225" s="592"/>
      <c r="C225" s="283"/>
      <c r="D225" s="283"/>
      <c r="E225" s="283"/>
      <c r="F225" s="283"/>
      <c r="G225" s="283"/>
      <c r="H225" s="283"/>
      <c r="I225" s="306" t="s">
        <v>39</v>
      </c>
      <c r="J225" s="292">
        <v>3046.85</v>
      </c>
      <c r="K225" s="572"/>
      <c r="L225" s="572"/>
      <c r="M225" s="292">
        <v>3046.85</v>
      </c>
      <c r="N225" s="572"/>
      <c r="O225" s="379"/>
      <c r="P225" s="379">
        <v>1992810.05</v>
      </c>
      <c r="Q225" s="572"/>
      <c r="R225" s="379">
        <v>13073</v>
      </c>
      <c r="S225" s="278" t="s">
        <v>40</v>
      </c>
      <c r="T225" s="299">
        <v>42100</v>
      </c>
      <c r="U225" s="299">
        <v>42130</v>
      </c>
      <c r="V225" s="283"/>
      <c r="W225" s="301">
        <v>1</v>
      </c>
      <c r="X225" s="283"/>
      <c r="Y225" s="626"/>
      <c r="Z225" s="620"/>
    </row>
    <row r="226" spans="1:26" s="390" customFormat="1" ht="28.5" customHeight="1" x14ac:dyDescent="0.2">
      <c r="A226" s="670"/>
      <c r="B226" s="592"/>
      <c r="C226" s="283"/>
      <c r="D226" s="283"/>
      <c r="E226" s="283"/>
      <c r="F226" s="283"/>
      <c r="G226" s="283"/>
      <c r="H226" s="283"/>
      <c r="I226" s="306" t="s">
        <v>219</v>
      </c>
      <c r="J226" s="292">
        <v>37836.199999999997</v>
      </c>
      <c r="K226" s="572"/>
      <c r="L226" s="572"/>
      <c r="M226" s="292">
        <v>37836.199999999997</v>
      </c>
      <c r="N226" s="572"/>
      <c r="O226" s="379"/>
      <c r="P226" s="379"/>
      <c r="Q226" s="572"/>
      <c r="R226" s="379"/>
      <c r="S226" s="278"/>
      <c r="T226" s="299"/>
      <c r="U226" s="299"/>
      <c r="V226" s="283"/>
      <c r="W226" s="301"/>
      <c r="X226" s="283"/>
      <c r="Y226" s="626"/>
      <c r="Z226" s="620"/>
    </row>
    <row r="227" spans="1:26" s="390" customFormat="1" ht="30" customHeight="1" x14ac:dyDescent="0.2">
      <c r="A227" s="670"/>
      <c r="B227" s="592"/>
      <c r="C227" s="283"/>
      <c r="D227" s="283"/>
      <c r="E227" s="283"/>
      <c r="F227" s="283"/>
      <c r="G227" s="283"/>
      <c r="H227" s="283"/>
      <c r="I227" s="312" t="s">
        <v>218</v>
      </c>
      <c r="J227" s="292">
        <v>200000</v>
      </c>
      <c r="K227" s="572"/>
      <c r="L227" s="572"/>
      <c r="M227" s="292">
        <v>200000</v>
      </c>
      <c r="N227" s="572"/>
      <c r="O227" s="379"/>
      <c r="P227" s="379"/>
      <c r="Q227" s="572"/>
      <c r="R227" s="379"/>
      <c r="S227" s="278"/>
      <c r="T227" s="299"/>
      <c r="U227" s="299"/>
      <c r="V227" s="283"/>
      <c r="W227" s="301"/>
      <c r="X227" s="283"/>
      <c r="Y227" s="626"/>
      <c r="Z227" s="620"/>
    </row>
    <row r="228" spans="1:26" s="390" customFormat="1" ht="35.25" customHeight="1" x14ac:dyDescent="0.2">
      <c r="A228" s="671"/>
      <c r="B228" s="593"/>
      <c r="C228" s="283"/>
      <c r="D228" s="283"/>
      <c r="E228" s="283"/>
      <c r="F228" s="283"/>
      <c r="G228" s="283"/>
      <c r="H228" s="283"/>
      <c r="I228" s="306" t="s">
        <v>234</v>
      </c>
      <c r="J228" s="292">
        <v>440168.4</v>
      </c>
      <c r="K228" s="573"/>
      <c r="L228" s="573"/>
      <c r="M228" s="292">
        <v>440168.4</v>
      </c>
      <c r="N228" s="573"/>
      <c r="O228" s="383"/>
      <c r="P228" s="383"/>
      <c r="Q228" s="573"/>
      <c r="R228" s="383"/>
      <c r="S228" s="278" t="s">
        <v>178</v>
      </c>
      <c r="T228" s="299"/>
      <c r="U228" s="299">
        <v>42217</v>
      </c>
      <c r="V228" s="283"/>
      <c r="W228" s="301">
        <v>1</v>
      </c>
      <c r="X228" s="283"/>
      <c r="Y228" s="628"/>
      <c r="Z228" s="621"/>
    </row>
    <row r="229" spans="1:26" s="384" customFormat="1" ht="33" customHeight="1" x14ac:dyDescent="0.2">
      <c r="A229" s="669">
        <v>33</v>
      </c>
      <c r="B229" s="586" t="s">
        <v>179</v>
      </c>
      <c r="C229" s="649">
        <v>1994</v>
      </c>
      <c r="D229" s="649" t="s">
        <v>155</v>
      </c>
      <c r="E229" s="649">
        <v>5</v>
      </c>
      <c r="F229" s="649">
        <v>6</v>
      </c>
      <c r="G229" s="649">
        <v>4288</v>
      </c>
      <c r="H229" s="649">
        <v>188</v>
      </c>
      <c r="I229" s="283" t="s">
        <v>29</v>
      </c>
      <c r="J229" s="292">
        <v>130523.94</v>
      </c>
      <c r="K229" s="571">
        <f>SUM(J232:J234,J236,J238:J241)</f>
        <v>4099999.9999999995</v>
      </c>
      <c r="L229" s="571">
        <f>3266332.48+833667.52</f>
        <v>4100000</v>
      </c>
      <c r="M229" s="292"/>
      <c r="N229" s="375"/>
      <c r="O229" s="375"/>
      <c r="P229" s="375"/>
      <c r="Q229" s="375"/>
      <c r="R229" s="375"/>
      <c r="S229" s="283"/>
      <c r="T229" s="318"/>
      <c r="U229" s="394"/>
      <c r="V229" s="649" t="s">
        <v>156</v>
      </c>
      <c r="W229" s="301"/>
      <c r="X229" s="283"/>
      <c r="Y229" s="625">
        <v>1</v>
      </c>
      <c r="Z229" s="630" t="s">
        <v>260</v>
      </c>
    </row>
    <row r="230" spans="1:26" s="384" customFormat="1" ht="33" customHeight="1" x14ac:dyDescent="0.2">
      <c r="A230" s="670"/>
      <c r="B230" s="592"/>
      <c r="C230" s="649"/>
      <c r="D230" s="649"/>
      <c r="E230" s="649"/>
      <c r="F230" s="649"/>
      <c r="G230" s="649"/>
      <c r="H230" s="649"/>
      <c r="I230" s="306" t="s">
        <v>64</v>
      </c>
      <c r="J230" s="292">
        <v>230523.93</v>
      </c>
      <c r="K230" s="572"/>
      <c r="L230" s="572"/>
      <c r="M230" s="292"/>
      <c r="N230" s="379"/>
      <c r="O230" s="379"/>
      <c r="P230" s="379"/>
      <c r="Q230" s="379"/>
      <c r="R230" s="379"/>
      <c r="S230" s="283"/>
      <c r="T230" s="318"/>
      <c r="U230" s="318"/>
      <c r="V230" s="649"/>
      <c r="W230" s="301"/>
      <c r="X230" s="283"/>
      <c r="Y230" s="626"/>
      <c r="Z230" s="631"/>
    </row>
    <row r="231" spans="1:26" s="384" customFormat="1" ht="33" customHeight="1" x14ac:dyDescent="0.2">
      <c r="A231" s="670"/>
      <c r="B231" s="592"/>
      <c r="C231" s="649"/>
      <c r="D231" s="649"/>
      <c r="E231" s="649"/>
      <c r="F231" s="649"/>
      <c r="G231" s="649"/>
      <c r="H231" s="649"/>
      <c r="I231" s="283" t="s">
        <v>57</v>
      </c>
      <c r="J231" s="292">
        <v>430523.93</v>
      </c>
      <c r="K231" s="572"/>
      <c r="L231" s="572"/>
      <c r="M231" s="292"/>
      <c r="N231" s="379"/>
      <c r="O231" s="379"/>
      <c r="P231" s="379"/>
      <c r="Q231" s="379"/>
      <c r="R231" s="379"/>
      <c r="S231" s="283"/>
      <c r="T231" s="318"/>
      <c r="U231" s="318"/>
      <c r="V231" s="649"/>
      <c r="W231" s="301"/>
      <c r="X231" s="283"/>
      <c r="Y231" s="626"/>
      <c r="Z231" s="631"/>
    </row>
    <row r="232" spans="1:26" s="384" customFormat="1" ht="36.75" customHeight="1" x14ac:dyDescent="0.2">
      <c r="A232" s="670"/>
      <c r="B232" s="592"/>
      <c r="C232" s="649"/>
      <c r="D232" s="649"/>
      <c r="E232" s="649"/>
      <c r="F232" s="649"/>
      <c r="G232" s="649"/>
      <c r="H232" s="649"/>
      <c r="I232" s="306" t="s">
        <v>37</v>
      </c>
      <c r="J232" s="292">
        <v>787417.19</v>
      </c>
      <c r="K232" s="572"/>
      <c r="L232" s="572"/>
      <c r="M232" s="292">
        <v>787417.19</v>
      </c>
      <c r="N232" s="379"/>
      <c r="O232" s="379"/>
      <c r="P232" s="379"/>
      <c r="Q232" s="379"/>
      <c r="R232" s="379"/>
      <c r="S232" s="650" t="s">
        <v>180</v>
      </c>
      <c r="T232" s="650">
        <v>41941</v>
      </c>
      <c r="U232" s="299">
        <v>42050</v>
      </c>
      <c r="V232" s="649"/>
      <c r="W232" s="301">
        <v>1</v>
      </c>
      <c r="X232" s="283"/>
      <c r="Y232" s="626"/>
      <c r="Z232" s="631"/>
    </row>
    <row r="233" spans="1:26" s="384" customFormat="1" ht="35.25" customHeight="1" x14ac:dyDescent="0.2">
      <c r="A233" s="670"/>
      <c r="B233" s="592"/>
      <c r="C233" s="649"/>
      <c r="D233" s="649"/>
      <c r="E233" s="649"/>
      <c r="F233" s="649"/>
      <c r="G233" s="649"/>
      <c r="H233" s="649"/>
      <c r="I233" s="283" t="s">
        <v>33</v>
      </c>
      <c r="J233" s="292">
        <f>374012.16+31252.1</f>
        <v>405264.25999999995</v>
      </c>
      <c r="K233" s="572"/>
      <c r="L233" s="572"/>
      <c r="M233" s="292">
        <f>374012.16+31252.1</f>
        <v>405264.25999999995</v>
      </c>
      <c r="N233" s="379"/>
      <c r="O233" s="379"/>
      <c r="P233" s="379"/>
      <c r="Q233" s="379"/>
      <c r="R233" s="379"/>
      <c r="S233" s="650"/>
      <c r="T233" s="650"/>
      <c r="U233" s="299">
        <v>42050</v>
      </c>
      <c r="V233" s="649"/>
      <c r="W233" s="301">
        <v>1</v>
      </c>
      <c r="X233" s="283"/>
      <c r="Y233" s="626"/>
      <c r="Z233" s="631"/>
    </row>
    <row r="234" spans="1:26" s="384" customFormat="1" ht="19.5" customHeight="1" x14ac:dyDescent="0.2">
      <c r="A234" s="670"/>
      <c r="B234" s="592"/>
      <c r="C234" s="649"/>
      <c r="D234" s="649"/>
      <c r="E234" s="649"/>
      <c r="F234" s="649"/>
      <c r="G234" s="649"/>
      <c r="H234" s="649"/>
      <c r="I234" s="283" t="s">
        <v>35</v>
      </c>
      <c r="J234" s="292">
        <v>913775.52</v>
      </c>
      <c r="K234" s="572"/>
      <c r="L234" s="572"/>
      <c r="M234" s="292">
        <v>913775.52</v>
      </c>
      <c r="N234" s="379"/>
      <c r="O234" s="379"/>
      <c r="P234" s="379"/>
      <c r="Q234" s="379"/>
      <c r="R234" s="379"/>
      <c r="S234" s="650"/>
      <c r="T234" s="650"/>
      <c r="U234" s="299">
        <v>42050</v>
      </c>
      <c r="V234" s="649"/>
      <c r="W234" s="301">
        <v>1</v>
      </c>
      <c r="X234" s="283"/>
      <c r="Y234" s="626"/>
      <c r="Z234" s="631"/>
    </row>
    <row r="235" spans="1:26" s="384" customFormat="1" ht="20.25" customHeight="1" x14ac:dyDescent="0.2">
      <c r="A235" s="670"/>
      <c r="B235" s="592"/>
      <c r="C235" s="649"/>
      <c r="D235" s="649"/>
      <c r="E235" s="649"/>
      <c r="F235" s="649"/>
      <c r="G235" s="649"/>
      <c r="H235" s="649"/>
      <c r="I235" s="283" t="s">
        <v>43</v>
      </c>
      <c r="J235" s="292">
        <v>1130523.93</v>
      </c>
      <c r="K235" s="572"/>
      <c r="L235" s="572"/>
      <c r="M235" s="292"/>
      <c r="N235" s="379"/>
      <c r="O235" s="379"/>
      <c r="P235" s="379"/>
      <c r="Q235" s="379"/>
      <c r="R235" s="379"/>
      <c r="S235" s="283"/>
      <c r="T235" s="318"/>
      <c r="U235" s="318"/>
      <c r="V235" s="649"/>
      <c r="W235" s="301"/>
      <c r="X235" s="283"/>
      <c r="Y235" s="626"/>
      <c r="Z235" s="631"/>
    </row>
    <row r="236" spans="1:26" s="384" customFormat="1" ht="44.85" customHeight="1" x14ac:dyDescent="0.2">
      <c r="A236" s="670"/>
      <c r="B236" s="592"/>
      <c r="C236" s="283"/>
      <c r="D236" s="283"/>
      <c r="E236" s="283"/>
      <c r="F236" s="283"/>
      <c r="G236" s="283"/>
      <c r="H236" s="283"/>
      <c r="I236" s="310" t="s">
        <v>275</v>
      </c>
      <c r="J236" s="599">
        <v>833667.52</v>
      </c>
      <c r="K236" s="572"/>
      <c r="L236" s="572"/>
      <c r="M236" s="292">
        <v>364288.42</v>
      </c>
      <c r="N236" s="379"/>
      <c r="O236" s="379"/>
      <c r="P236" s="379"/>
      <c r="Q236" s="379"/>
      <c r="R236" s="379"/>
      <c r="S236" s="586" t="s">
        <v>181</v>
      </c>
      <c r="T236" s="318">
        <v>42100</v>
      </c>
      <c r="U236" s="299">
        <v>42262</v>
      </c>
      <c r="V236" s="283"/>
      <c r="W236" s="301"/>
      <c r="X236" s="283"/>
      <c r="Y236" s="626"/>
      <c r="Z236" s="631"/>
    </row>
    <row r="237" spans="1:26" s="384" customFormat="1" ht="44.85" customHeight="1" x14ac:dyDescent="0.2">
      <c r="A237" s="670"/>
      <c r="B237" s="592"/>
      <c r="C237" s="283"/>
      <c r="D237" s="283"/>
      <c r="E237" s="283"/>
      <c r="F237" s="283"/>
      <c r="G237" s="283"/>
      <c r="H237" s="283"/>
      <c r="I237" s="310" t="s">
        <v>274</v>
      </c>
      <c r="J237" s="578"/>
      <c r="K237" s="572"/>
      <c r="L237" s="572"/>
      <c r="M237" s="292">
        <v>469379.1</v>
      </c>
      <c r="N237" s="379">
        <v>4100000</v>
      </c>
      <c r="O237" s="379">
        <v>0</v>
      </c>
      <c r="P237" s="379">
        <v>4100000</v>
      </c>
      <c r="Q237" s="379">
        <v>0</v>
      </c>
      <c r="R237" s="379">
        <v>0</v>
      </c>
      <c r="S237" s="578"/>
      <c r="T237" s="318"/>
      <c r="U237" s="299"/>
      <c r="V237" s="283"/>
      <c r="W237" s="301"/>
      <c r="X237" s="283"/>
      <c r="Y237" s="626"/>
      <c r="Z237" s="631"/>
    </row>
    <row r="238" spans="1:26" s="384" customFormat="1" ht="27" customHeight="1" x14ac:dyDescent="0.2">
      <c r="A238" s="670"/>
      <c r="B238" s="592"/>
      <c r="C238" s="283"/>
      <c r="D238" s="283"/>
      <c r="E238" s="283"/>
      <c r="F238" s="283"/>
      <c r="G238" s="283"/>
      <c r="H238" s="283"/>
      <c r="I238" s="283" t="s">
        <v>219</v>
      </c>
      <c r="J238" s="292">
        <v>77332.479999999996</v>
      </c>
      <c r="K238" s="572"/>
      <c r="L238" s="572"/>
      <c r="M238" s="292">
        <v>77332.479999999996</v>
      </c>
      <c r="N238" s="379"/>
      <c r="O238" s="379"/>
      <c r="P238" s="379"/>
      <c r="Q238" s="379"/>
      <c r="R238" s="379"/>
      <c r="S238" s="283"/>
      <c r="T238" s="318"/>
      <c r="U238" s="318"/>
      <c r="V238" s="283"/>
      <c r="W238" s="301"/>
      <c r="X238" s="283"/>
      <c r="Y238" s="626"/>
      <c r="Z238" s="631"/>
    </row>
    <row r="239" spans="1:26" s="384" customFormat="1" ht="27" customHeight="1" x14ac:dyDescent="0.2">
      <c r="A239" s="670"/>
      <c r="B239" s="592"/>
      <c r="C239" s="283"/>
      <c r="D239" s="283"/>
      <c r="E239" s="283"/>
      <c r="F239" s="283"/>
      <c r="G239" s="283"/>
      <c r="H239" s="283"/>
      <c r="I239" s="401" t="s">
        <v>218</v>
      </c>
      <c r="J239" s="292">
        <v>409000</v>
      </c>
      <c r="K239" s="572"/>
      <c r="L239" s="572"/>
      <c r="M239" s="292">
        <v>409000</v>
      </c>
      <c r="N239" s="379"/>
      <c r="O239" s="379"/>
      <c r="P239" s="379"/>
      <c r="Q239" s="379"/>
      <c r="R239" s="379"/>
      <c r="S239" s="283"/>
      <c r="T239" s="318"/>
      <c r="U239" s="318"/>
      <c r="V239" s="283"/>
      <c r="W239" s="301"/>
      <c r="X239" s="283"/>
      <c r="Y239" s="626"/>
      <c r="Z239" s="631"/>
    </row>
    <row r="240" spans="1:26" s="384" customFormat="1" ht="132" customHeight="1" x14ac:dyDescent="0.2">
      <c r="A240" s="670"/>
      <c r="B240" s="592"/>
      <c r="C240" s="283"/>
      <c r="D240" s="283"/>
      <c r="E240" s="283"/>
      <c r="F240" s="283"/>
      <c r="G240" s="283"/>
      <c r="H240" s="283"/>
      <c r="I240" s="283" t="s">
        <v>271</v>
      </c>
      <c r="J240" s="292">
        <v>92199.53</v>
      </c>
      <c r="K240" s="572"/>
      <c r="L240" s="572"/>
      <c r="M240" s="586">
        <v>673543.03</v>
      </c>
      <c r="N240" s="379"/>
      <c r="O240" s="379"/>
      <c r="P240" s="379"/>
      <c r="Q240" s="379"/>
      <c r="R240" s="402"/>
      <c r="S240" s="733" t="s">
        <v>273</v>
      </c>
      <c r="T240" s="318"/>
      <c r="U240" s="318"/>
      <c r="V240" s="283"/>
      <c r="W240" s="301"/>
      <c r="X240" s="283"/>
      <c r="Y240" s="626"/>
      <c r="Z240" s="631"/>
    </row>
    <row r="241" spans="1:26" s="384" customFormat="1" ht="81.75" customHeight="1" x14ac:dyDescent="0.2">
      <c r="A241" s="671"/>
      <c r="B241" s="593"/>
      <c r="C241" s="283"/>
      <c r="D241" s="283"/>
      <c r="E241" s="283"/>
      <c r="F241" s="283"/>
      <c r="G241" s="283"/>
      <c r="H241" s="283"/>
      <c r="I241" s="283" t="s">
        <v>272</v>
      </c>
      <c r="J241" s="283">
        <v>581343.5</v>
      </c>
      <c r="K241" s="573"/>
      <c r="L241" s="573"/>
      <c r="M241" s="578"/>
      <c r="N241" s="383"/>
      <c r="O241" s="383"/>
      <c r="P241" s="383"/>
      <c r="Q241" s="383"/>
      <c r="R241" s="402"/>
      <c r="S241" s="734"/>
      <c r="T241" s="318"/>
      <c r="U241" s="318">
        <v>42262</v>
      </c>
      <c r="V241" s="283"/>
      <c r="W241" s="301">
        <v>1</v>
      </c>
      <c r="X241" s="283"/>
      <c r="Y241" s="628"/>
      <c r="Z241" s="632"/>
    </row>
    <row r="242" spans="1:26" s="384" customFormat="1" ht="30" customHeight="1" x14ac:dyDescent="0.2">
      <c r="A242" s="669">
        <v>34</v>
      </c>
      <c r="B242" s="586" t="s">
        <v>182</v>
      </c>
      <c r="C242" s="649">
        <v>1968</v>
      </c>
      <c r="D242" s="649" t="s">
        <v>155</v>
      </c>
      <c r="E242" s="649">
        <v>5</v>
      </c>
      <c r="F242" s="649">
        <v>4</v>
      </c>
      <c r="G242" s="649">
        <v>3065</v>
      </c>
      <c r="H242" s="649">
        <v>144</v>
      </c>
      <c r="I242" s="283" t="s">
        <v>29</v>
      </c>
      <c r="J242" s="292">
        <v>41700.449999999997</v>
      </c>
      <c r="K242" s="571">
        <f>J244+J246+J247+J248+J249+J250+J251+J252</f>
        <v>3450000</v>
      </c>
      <c r="L242" s="571">
        <f>3218096.73+231903.27</f>
        <v>3450000</v>
      </c>
      <c r="M242" s="292"/>
      <c r="N242" s="571">
        <f>SUM(M242:M252)</f>
        <v>3450000</v>
      </c>
      <c r="O242" s="375"/>
      <c r="P242" s="604">
        <v>3389111</v>
      </c>
      <c r="Q242" s="571">
        <v>0</v>
      </c>
      <c r="R242" s="574">
        <v>60889</v>
      </c>
      <c r="S242" s="283"/>
      <c r="T242" s="318"/>
      <c r="U242" s="394"/>
      <c r="V242" s="649" t="s">
        <v>156</v>
      </c>
      <c r="W242" s="301"/>
      <c r="X242" s="283"/>
      <c r="Y242" s="625">
        <f>AVERAGE(W242:X252)</f>
        <v>1</v>
      </c>
      <c r="Z242" s="630" t="s">
        <v>242</v>
      </c>
    </row>
    <row r="243" spans="1:26" s="384" customFormat="1" ht="27.75" customHeight="1" x14ac:dyDescent="0.2">
      <c r="A243" s="670"/>
      <c r="B243" s="592"/>
      <c r="C243" s="649"/>
      <c r="D243" s="649"/>
      <c r="E243" s="649"/>
      <c r="F243" s="649"/>
      <c r="G243" s="649"/>
      <c r="H243" s="649"/>
      <c r="I243" s="306" t="s">
        <v>64</v>
      </c>
      <c r="J243" s="292">
        <v>241700.47</v>
      </c>
      <c r="K243" s="572"/>
      <c r="L243" s="572"/>
      <c r="M243" s="292"/>
      <c r="N243" s="572"/>
      <c r="O243" s="379"/>
      <c r="P243" s="731"/>
      <c r="Q243" s="572"/>
      <c r="R243" s="575"/>
      <c r="S243" s="283"/>
      <c r="T243" s="318"/>
      <c r="U243" s="318"/>
      <c r="V243" s="649"/>
      <c r="W243" s="301"/>
      <c r="X243" s="283"/>
      <c r="Y243" s="626"/>
      <c r="Z243" s="631"/>
    </row>
    <row r="244" spans="1:26" s="384" customFormat="1" ht="33" customHeight="1" x14ac:dyDescent="0.2">
      <c r="A244" s="670"/>
      <c r="B244" s="592"/>
      <c r="C244" s="649"/>
      <c r="D244" s="649"/>
      <c r="E244" s="649"/>
      <c r="F244" s="649"/>
      <c r="G244" s="649"/>
      <c r="H244" s="649"/>
      <c r="I244" s="283" t="s">
        <v>57</v>
      </c>
      <c r="J244" s="292">
        <f>819098.6+3370.72</f>
        <v>822469.32</v>
      </c>
      <c r="K244" s="572"/>
      <c r="L244" s="572"/>
      <c r="M244" s="292">
        <f>819098.6+3370.72</f>
        <v>822469.32</v>
      </c>
      <c r="N244" s="572"/>
      <c r="O244" s="379">
        <v>-12181</v>
      </c>
      <c r="P244" s="731"/>
      <c r="Q244" s="572"/>
      <c r="R244" s="575"/>
      <c r="S244" s="283" t="s">
        <v>183</v>
      </c>
      <c r="T244" s="318">
        <v>41941</v>
      </c>
      <c r="U244" s="318">
        <v>42063</v>
      </c>
      <c r="V244" s="649"/>
      <c r="W244" s="301">
        <v>1</v>
      </c>
      <c r="X244" s="283"/>
      <c r="Y244" s="626"/>
      <c r="Z244" s="631"/>
    </row>
    <row r="245" spans="1:26" s="384" customFormat="1" ht="33" customHeight="1" x14ac:dyDescent="0.2">
      <c r="A245" s="670"/>
      <c r="B245" s="592"/>
      <c r="C245" s="649"/>
      <c r="D245" s="649"/>
      <c r="E245" s="649"/>
      <c r="F245" s="649"/>
      <c r="G245" s="649"/>
      <c r="H245" s="649"/>
      <c r="I245" s="306" t="s">
        <v>37</v>
      </c>
      <c r="J245" s="292">
        <v>441700.47</v>
      </c>
      <c r="K245" s="572"/>
      <c r="L245" s="572"/>
      <c r="M245" s="292"/>
      <c r="N245" s="572"/>
      <c r="O245" s="379"/>
      <c r="P245" s="731"/>
      <c r="Q245" s="572"/>
      <c r="R245" s="575"/>
      <c r="S245" s="283"/>
      <c r="T245" s="318"/>
      <c r="U245" s="299"/>
      <c r="V245" s="649"/>
      <c r="W245" s="301"/>
      <c r="X245" s="283"/>
      <c r="Y245" s="626"/>
      <c r="Z245" s="631"/>
    </row>
    <row r="246" spans="1:26" s="384" customFormat="1" ht="33" customHeight="1" x14ac:dyDescent="0.2">
      <c r="A246" s="670"/>
      <c r="B246" s="592"/>
      <c r="C246" s="649"/>
      <c r="D246" s="649"/>
      <c r="E246" s="649"/>
      <c r="F246" s="649"/>
      <c r="G246" s="649"/>
      <c r="H246" s="649"/>
      <c r="I246" s="283" t="s">
        <v>33</v>
      </c>
      <c r="J246" s="292">
        <f>170102.18+1805.66</f>
        <v>171907.84</v>
      </c>
      <c r="K246" s="572"/>
      <c r="L246" s="572"/>
      <c r="M246" s="292">
        <f>170102.18+1805.66</f>
        <v>171907.84</v>
      </c>
      <c r="N246" s="572"/>
      <c r="O246" s="379"/>
      <c r="P246" s="731"/>
      <c r="Q246" s="572"/>
      <c r="R246" s="575"/>
      <c r="S246" s="649" t="s">
        <v>184</v>
      </c>
      <c r="T246" s="650">
        <v>41941</v>
      </c>
      <c r="U246" s="318">
        <v>42063</v>
      </c>
      <c r="V246" s="649"/>
      <c r="W246" s="301">
        <v>1</v>
      </c>
      <c r="X246" s="283"/>
      <c r="Y246" s="626"/>
      <c r="Z246" s="631"/>
    </row>
    <row r="247" spans="1:26" s="384" customFormat="1" ht="23.25" customHeight="1" x14ac:dyDescent="0.2">
      <c r="A247" s="670"/>
      <c r="B247" s="592"/>
      <c r="C247" s="649"/>
      <c r="D247" s="649"/>
      <c r="E247" s="649"/>
      <c r="F247" s="649"/>
      <c r="G247" s="649"/>
      <c r="H247" s="649"/>
      <c r="I247" s="283" t="s">
        <v>35</v>
      </c>
      <c r="J247" s="292">
        <f>741110.32+7365.86</f>
        <v>748476.17999999993</v>
      </c>
      <c r="K247" s="572"/>
      <c r="L247" s="572"/>
      <c r="M247" s="292">
        <f>741110.32+7365.86</f>
        <v>748476.17999999993</v>
      </c>
      <c r="N247" s="575"/>
      <c r="O247" s="393">
        <v>-1839</v>
      </c>
      <c r="P247" s="731"/>
      <c r="Q247" s="572"/>
      <c r="R247" s="575"/>
      <c r="S247" s="649"/>
      <c r="T247" s="650"/>
      <c r="U247" s="299">
        <v>42050</v>
      </c>
      <c r="V247" s="649"/>
      <c r="W247" s="301">
        <v>1</v>
      </c>
      <c r="X247" s="283"/>
      <c r="Y247" s="626"/>
      <c r="Z247" s="631"/>
    </row>
    <row r="248" spans="1:26" s="384" customFormat="1" ht="31.5" customHeight="1" x14ac:dyDescent="0.2">
      <c r="A248" s="670"/>
      <c r="B248" s="592"/>
      <c r="C248" s="649"/>
      <c r="D248" s="649"/>
      <c r="E248" s="649"/>
      <c r="F248" s="649"/>
      <c r="G248" s="649"/>
      <c r="H248" s="649"/>
      <c r="I248" s="283" t="s">
        <v>43</v>
      </c>
      <c r="J248" s="292">
        <v>823036.45</v>
      </c>
      <c r="K248" s="572"/>
      <c r="L248" s="572"/>
      <c r="M248" s="292">
        <v>823036.45</v>
      </c>
      <c r="N248" s="575"/>
      <c r="O248" s="393">
        <v>-46869</v>
      </c>
      <c r="P248" s="731"/>
      <c r="Q248" s="572"/>
      <c r="R248" s="575"/>
      <c r="S248" s="649"/>
      <c r="T248" s="650"/>
      <c r="U248" s="318">
        <v>42077</v>
      </c>
      <c r="V248" s="649"/>
      <c r="W248" s="301">
        <v>1</v>
      </c>
      <c r="X248" s="283"/>
      <c r="Y248" s="626"/>
      <c r="Z248" s="631"/>
    </row>
    <row r="249" spans="1:26" s="384" customFormat="1" ht="61.5" customHeight="1" x14ac:dyDescent="0.2">
      <c r="A249" s="670"/>
      <c r="B249" s="592"/>
      <c r="C249" s="283"/>
      <c r="D249" s="283"/>
      <c r="E249" s="283"/>
      <c r="F249" s="283"/>
      <c r="G249" s="283"/>
      <c r="H249" s="283"/>
      <c r="I249" s="283" t="s">
        <v>277</v>
      </c>
      <c r="J249" s="292">
        <v>231903.27</v>
      </c>
      <c r="K249" s="572"/>
      <c r="L249" s="572"/>
      <c r="M249" s="292">
        <v>231903.27</v>
      </c>
      <c r="N249" s="572"/>
      <c r="O249" s="379"/>
      <c r="P249" s="731"/>
      <c r="Q249" s="572"/>
      <c r="R249" s="575"/>
      <c r="S249" s="283" t="s">
        <v>186</v>
      </c>
      <c r="T249" s="318">
        <v>42100</v>
      </c>
      <c r="U249" s="299">
        <v>42248</v>
      </c>
      <c r="V249" s="283"/>
      <c r="W249" s="301">
        <v>1</v>
      </c>
      <c r="X249" s="283"/>
      <c r="Y249" s="626"/>
      <c r="Z249" s="631"/>
    </row>
    <row r="250" spans="1:26" s="384" customFormat="1" ht="34.5" customHeight="1" x14ac:dyDescent="0.2">
      <c r="A250" s="670"/>
      <c r="B250" s="592"/>
      <c r="C250" s="283"/>
      <c r="D250" s="283"/>
      <c r="E250" s="283"/>
      <c r="F250" s="283"/>
      <c r="G250" s="283"/>
      <c r="H250" s="283"/>
      <c r="I250" s="283" t="s">
        <v>219</v>
      </c>
      <c r="J250" s="292">
        <v>65096.73</v>
      </c>
      <c r="K250" s="572"/>
      <c r="L250" s="572"/>
      <c r="M250" s="292">
        <v>65096.73</v>
      </c>
      <c r="N250" s="572"/>
      <c r="O250" s="379"/>
      <c r="P250" s="731"/>
      <c r="Q250" s="572"/>
      <c r="R250" s="575"/>
      <c r="S250" s="283"/>
      <c r="T250" s="318"/>
      <c r="U250" s="318"/>
      <c r="V250" s="283"/>
      <c r="W250" s="301"/>
      <c r="X250" s="283"/>
      <c r="Y250" s="626"/>
      <c r="Z250" s="631"/>
    </row>
    <row r="251" spans="1:26" s="384" customFormat="1" ht="30.75" customHeight="1" x14ac:dyDescent="0.2">
      <c r="A251" s="670"/>
      <c r="B251" s="592"/>
      <c r="C251" s="283"/>
      <c r="D251" s="283"/>
      <c r="E251" s="283"/>
      <c r="F251" s="283"/>
      <c r="G251" s="283"/>
      <c r="H251" s="283"/>
      <c r="I251" s="401" t="s">
        <v>218</v>
      </c>
      <c r="J251" s="292">
        <v>343000</v>
      </c>
      <c r="K251" s="572"/>
      <c r="L251" s="572"/>
      <c r="M251" s="292">
        <v>343000</v>
      </c>
      <c r="N251" s="572"/>
      <c r="O251" s="379"/>
      <c r="P251" s="731"/>
      <c r="Q251" s="572"/>
      <c r="R251" s="575"/>
      <c r="S251" s="283"/>
      <c r="T251" s="318"/>
      <c r="U251" s="318"/>
      <c r="V251" s="283"/>
      <c r="W251" s="301"/>
      <c r="X251" s="283"/>
      <c r="Y251" s="626"/>
      <c r="Z251" s="631"/>
    </row>
    <row r="252" spans="1:26" s="384" customFormat="1" ht="84.75" customHeight="1" x14ac:dyDescent="0.2">
      <c r="A252" s="671"/>
      <c r="B252" s="593"/>
      <c r="C252" s="283"/>
      <c r="D252" s="283"/>
      <c r="E252" s="283"/>
      <c r="F252" s="283"/>
      <c r="G252" s="283"/>
      <c r="H252" s="283"/>
      <c r="I252" s="283" t="s">
        <v>237</v>
      </c>
      <c r="J252" s="292">
        <v>244110.21</v>
      </c>
      <c r="K252" s="573"/>
      <c r="L252" s="573"/>
      <c r="M252" s="292">
        <v>244110.21</v>
      </c>
      <c r="N252" s="573"/>
      <c r="O252" s="379"/>
      <c r="P252" s="732"/>
      <c r="Q252" s="573"/>
      <c r="R252" s="608"/>
      <c r="S252" s="275" t="s">
        <v>252</v>
      </c>
      <c r="T252" s="318"/>
      <c r="U252" s="318">
        <v>42217</v>
      </c>
      <c r="V252" s="283"/>
      <c r="W252" s="301">
        <v>1</v>
      </c>
      <c r="X252" s="283"/>
      <c r="Y252" s="628"/>
      <c r="Z252" s="632"/>
    </row>
    <row r="253" spans="1:26" s="390" customFormat="1" ht="52.5" customHeight="1" x14ac:dyDescent="0.2">
      <c r="A253" s="669">
        <v>35</v>
      </c>
      <c r="B253" s="586" t="s">
        <v>187</v>
      </c>
      <c r="C253" s="281">
        <v>1967</v>
      </c>
      <c r="D253" s="283" t="s">
        <v>155</v>
      </c>
      <c r="E253" s="283">
        <v>4</v>
      </c>
      <c r="F253" s="283">
        <v>3</v>
      </c>
      <c r="G253" s="283">
        <v>2247.9</v>
      </c>
      <c r="H253" s="283">
        <v>82</v>
      </c>
      <c r="I253" s="306" t="s">
        <v>35</v>
      </c>
      <c r="J253" s="292">
        <v>615000</v>
      </c>
      <c r="K253" s="571">
        <f>J253+J254+J255+J256</f>
        <v>700000</v>
      </c>
      <c r="L253" s="571">
        <f>697220.48+2779.52</f>
        <v>700000</v>
      </c>
      <c r="M253" s="292">
        <v>615000</v>
      </c>
      <c r="N253" s="574">
        <f>M253+M254+M255+M256</f>
        <v>700000</v>
      </c>
      <c r="O253" s="393">
        <v>-1951</v>
      </c>
      <c r="P253" s="398"/>
      <c r="Q253" s="571">
        <v>0</v>
      </c>
      <c r="R253" s="375"/>
      <c r="S253" s="283" t="s">
        <v>188</v>
      </c>
      <c r="T253" s="318">
        <v>41934</v>
      </c>
      <c r="U253" s="299">
        <v>42050</v>
      </c>
      <c r="V253" s="300" t="s">
        <v>156</v>
      </c>
      <c r="W253" s="301">
        <v>1</v>
      </c>
      <c r="X253" s="283"/>
      <c r="Y253" s="622">
        <f>W253</f>
        <v>1</v>
      </c>
      <c r="Z253" s="630" t="s">
        <v>242</v>
      </c>
    </row>
    <row r="254" spans="1:26" s="390" customFormat="1" ht="61.9" customHeight="1" x14ac:dyDescent="0.2">
      <c r="A254" s="670"/>
      <c r="B254" s="592"/>
      <c r="C254" s="281"/>
      <c r="D254" s="283"/>
      <c r="E254" s="283"/>
      <c r="F254" s="283"/>
      <c r="G254" s="283"/>
      <c r="H254" s="283"/>
      <c r="I254" s="306" t="s">
        <v>39</v>
      </c>
      <c r="J254" s="292">
        <v>2779.52</v>
      </c>
      <c r="K254" s="572"/>
      <c r="L254" s="572"/>
      <c r="M254" s="292">
        <v>2779.52</v>
      </c>
      <c r="N254" s="572"/>
      <c r="O254" s="379"/>
      <c r="P254" s="379">
        <v>698049</v>
      </c>
      <c r="Q254" s="572"/>
      <c r="R254" s="379">
        <v>1951</v>
      </c>
      <c r="S254" s="278" t="s">
        <v>40</v>
      </c>
      <c r="T254" s="299">
        <v>42100</v>
      </c>
      <c r="U254" s="299">
        <v>42130</v>
      </c>
      <c r="V254" s="283"/>
      <c r="W254" s="301">
        <v>1</v>
      </c>
      <c r="X254" s="283"/>
      <c r="Y254" s="623"/>
      <c r="Z254" s="631"/>
    </row>
    <row r="255" spans="1:26" s="390" customFormat="1" ht="27.75" customHeight="1" x14ac:dyDescent="0.2">
      <c r="A255" s="670"/>
      <c r="B255" s="592"/>
      <c r="C255" s="281"/>
      <c r="D255" s="283"/>
      <c r="E255" s="283"/>
      <c r="F255" s="283"/>
      <c r="G255" s="283"/>
      <c r="H255" s="283"/>
      <c r="I255" s="306" t="s">
        <v>219</v>
      </c>
      <c r="J255" s="292">
        <v>13220.48</v>
      </c>
      <c r="K255" s="572"/>
      <c r="L255" s="572"/>
      <c r="M255" s="292">
        <v>13220.48</v>
      </c>
      <c r="N255" s="572"/>
      <c r="O255" s="379"/>
      <c r="P255" s="379"/>
      <c r="Q255" s="572"/>
      <c r="R255" s="379"/>
      <c r="S255" s="278"/>
      <c r="T255" s="299"/>
      <c r="U255" s="299"/>
      <c r="V255" s="283"/>
      <c r="W255" s="301"/>
      <c r="X255" s="283"/>
      <c r="Y255" s="623"/>
      <c r="Z255" s="631"/>
    </row>
    <row r="256" spans="1:26" s="390" customFormat="1" ht="32.25" customHeight="1" x14ac:dyDescent="0.2">
      <c r="A256" s="671"/>
      <c r="B256" s="593"/>
      <c r="C256" s="281"/>
      <c r="D256" s="283"/>
      <c r="E256" s="283"/>
      <c r="F256" s="283"/>
      <c r="G256" s="283"/>
      <c r="H256" s="283"/>
      <c r="I256" s="312" t="s">
        <v>218</v>
      </c>
      <c r="J256" s="292">
        <v>69000</v>
      </c>
      <c r="K256" s="573"/>
      <c r="L256" s="573"/>
      <c r="M256" s="292">
        <v>69000</v>
      </c>
      <c r="N256" s="573"/>
      <c r="O256" s="379"/>
      <c r="P256" s="383"/>
      <c r="Q256" s="573"/>
      <c r="R256" s="383"/>
      <c r="S256" s="278"/>
      <c r="T256" s="299"/>
      <c r="U256" s="299"/>
      <c r="V256" s="283"/>
      <c r="W256" s="301"/>
      <c r="X256" s="283"/>
      <c r="Y256" s="624"/>
      <c r="Z256" s="631"/>
    </row>
    <row r="257" spans="1:27" s="390" customFormat="1" ht="42" customHeight="1" x14ac:dyDescent="0.2">
      <c r="A257" s="669">
        <v>36</v>
      </c>
      <c r="B257" s="586" t="s">
        <v>189</v>
      </c>
      <c r="C257" s="281">
        <v>1965</v>
      </c>
      <c r="D257" s="283" t="s">
        <v>190</v>
      </c>
      <c r="E257" s="283">
        <v>4</v>
      </c>
      <c r="F257" s="283">
        <v>3</v>
      </c>
      <c r="G257" s="283">
        <v>2210.8000000000002</v>
      </c>
      <c r="H257" s="283">
        <v>157</v>
      </c>
      <c r="I257" s="306" t="s">
        <v>35</v>
      </c>
      <c r="J257" s="292">
        <v>615000</v>
      </c>
      <c r="K257" s="571">
        <f>J257+J258+J259+J260</f>
        <v>700000</v>
      </c>
      <c r="L257" s="571">
        <f>696241.43+3758.57</f>
        <v>700000</v>
      </c>
      <c r="M257" s="292">
        <v>615000</v>
      </c>
      <c r="N257" s="574">
        <f>M257+M258+M259+M260</f>
        <v>700000</v>
      </c>
      <c r="O257" s="393">
        <v>-6490</v>
      </c>
      <c r="P257" s="398"/>
      <c r="Q257" s="571">
        <v>0</v>
      </c>
      <c r="R257" s="375"/>
      <c r="S257" s="283" t="s">
        <v>191</v>
      </c>
      <c r="T257" s="318">
        <v>41934</v>
      </c>
      <c r="U257" s="299">
        <v>42050</v>
      </c>
      <c r="V257" s="300" t="s">
        <v>192</v>
      </c>
      <c r="W257" s="301">
        <v>1</v>
      </c>
      <c r="X257" s="283"/>
      <c r="Y257" s="622">
        <f>W257</f>
        <v>1</v>
      </c>
      <c r="Z257" s="630" t="s">
        <v>242</v>
      </c>
    </row>
    <row r="258" spans="1:27" s="390" customFormat="1" ht="65.099999999999994" customHeight="1" x14ac:dyDescent="0.2">
      <c r="A258" s="670"/>
      <c r="B258" s="592"/>
      <c r="C258" s="281"/>
      <c r="D258" s="283"/>
      <c r="E258" s="283"/>
      <c r="F258" s="283"/>
      <c r="G258" s="283"/>
      <c r="H258" s="283"/>
      <c r="I258" s="306" t="s">
        <v>39</v>
      </c>
      <c r="J258" s="292">
        <v>3758.57</v>
      </c>
      <c r="K258" s="572"/>
      <c r="L258" s="572"/>
      <c r="M258" s="292">
        <v>3758.57</v>
      </c>
      <c r="N258" s="572"/>
      <c r="O258" s="379"/>
      <c r="P258" s="379">
        <v>693510</v>
      </c>
      <c r="Q258" s="572"/>
      <c r="R258" s="379">
        <v>6490</v>
      </c>
      <c r="S258" s="278" t="s">
        <v>40</v>
      </c>
      <c r="T258" s="299">
        <v>42100</v>
      </c>
      <c r="U258" s="299">
        <v>42130</v>
      </c>
      <c r="V258" s="300"/>
      <c r="W258" s="301">
        <v>1</v>
      </c>
      <c r="X258" s="283"/>
      <c r="Y258" s="623"/>
      <c r="Z258" s="631"/>
    </row>
    <row r="259" spans="1:27" s="390" customFormat="1" ht="26.25" customHeight="1" x14ac:dyDescent="0.2">
      <c r="A259" s="670"/>
      <c r="B259" s="592"/>
      <c r="C259" s="281"/>
      <c r="D259" s="283"/>
      <c r="E259" s="283"/>
      <c r="F259" s="283"/>
      <c r="G259" s="283"/>
      <c r="H259" s="283"/>
      <c r="I259" s="306" t="s">
        <v>219</v>
      </c>
      <c r="J259" s="292">
        <v>13241.43</v>
      </c>
      <c r="K259" s="572"/>
      <c r="L259" s="572"/>
      <c r="M259" s="292">
        <v>13241.43</v>
      </c>
      <c r="N259" s="572"/>
      <c r="O259" s="379"/>
      <c r="P259" s="379"/>
      <c r="Q259" s="572"/>
      <c r="R259" s="379"/>
      <c r="S259" s="278"/>
      <c r="T259" s="299"/>
      <c r="U259" s="299"/>
      <c r="V259" s="300"/>
      <c r="W259" s="301"/>
      <c r="X259" s="283"/>
      <c r="Y259" s="623"/>
      <c r="Z259" s="631"/>
    </row>
    <row r="260" spans="1:27" s="390" customFormat="1" ht="28.5" customHeight="1" x14ac:dyDescent="0.2">
      <c r="A260" s="671"/>
      <c r="B260" s="593"/>
      <c r="C260" s="281"/>
      <c r="D260" s="283"/>
      <c r="E260" s="283"/>
      <c r="F260" s="283"/>
      <c r="G260" s="283"/>
      <c r="H260" s="283"/>
      <c r="I260" s="312" t="s">
        <v>218</v>
      </c>
      <c r="J260" s="292">
        <v>68000</v>
      </c>
      <c r="K260" s="573"/>
      <c r="L260" s="573"/>
      <c r="M260" s="292">
        <v>68000</v>
      </c>
      <c r="N260" s="573"/>
      <c r="O260" s="379"/>
      <c r="P260" s="383"/>
      <c r="Q260" s="573"/>
      <c r="R260" s="383"/>
      <c r="S260" s="278"/>
      <c r="T260" s="299"/>
      <c r="U260" s="299"/>
      <c r="V260" s="300"/>
      <c r="W260" s="301"/>
      <c r="X260" s="283"/>
      <c r="Y260" s="624"/>
      <c r="Z260" s="631"/>
    </row>
    <row r="261" spans="1:27" s="390" customFormat="1" ht="52.5" customHeight="1" x14ac:dyDescent="0.2">
      <c r="A261" s="669">
        <v>37</v>
      </c>
      <c r="B261" s="586" t="s">
        <v>193</v>
      </c>
      <c r="C261" s="281">
        <v>1965</v>
      </c>
      <c r="D261" s="283" t="s">
        <v>190</v>
      </c>
      <c r="E261" s="283">
        <v>4</v>
      </c>
      <c r="F261" s="283">
        <v>3</v>
      </c>
      <c r="G261" s="283">
        <v>2381.6</v>
      </c>
      <c r="H261" s="283">
        <v>214</v>
      </c>
      <c r="I261" s="306" t="s">
        <v>35</v>
      </c>
      <c r="J261" s="292">
        <v>615000</v>
      </c>
      <c r="K261" s="571">
        <f>J261+J262+J263+J264</f>
        <v>700000</v>
      </c>
      <c r="L261" s="571">
        <f>696241.43+3758.57</f>
        <v>700000</v>
      </c>
      <c r="M261" s="292">
        <v>615000</v>
      </c>
      <c r="N261" s="574">
        <f>M261+M262+M263+M264</f>
        <v>700000</v>
      </c>
      <c r="O261" s="393">
        <v>-5453</v>
      </c>
      <c r="P261" s="398"/>
      <c r="Q261" s="571">
        <v>0</v>
      </c>
      <c r="R261" s="375"/>
      <c r="S261" s="283" t="s">
        <v>194</v>
      </c>
      <c r="T261" s="318">
        <v>41934</v>
      </c>
      <c r="U261" s="299">
        <v>42050</v>
      </c>
      <c r="V261" s="300" t="s">
        <v>192</v>
      </c>
      <c r="W261" s="301">
        <v>1</v>
      </c>
      <c r="X261" s="283"/>
      <c r="Y261" s="622">
        <f>W261</f>
        <v>1</v>
      </c>
      <c r="Z261" s="630" t="s">
        <v>242</v>
      </c>
    </row>
    <row r="262" spans="1:27" s="390" customFormat="1" ht="66" customHeight="1" x14ac:dyDescent="0.2">
      <c r="A262" s="670"/>
      <c r="B262" s="592"/>
      <c r="C262" s="281"/>
      <c r="D262" s="283"/>
      <c r="E262" s="283"/>
      <c r="F262" s="283"/>
      <c r="G262" s="283"/>
      <c r="H262" s="283"/>
      <c r="I262" s="306" t="s">
        <v>39</v>
      </c>
      <c r="J262" s="292">
        <v>3758.57</v>
      </c>
      <c r="K262" s="572"/>
      <c r="L262" s="572"/>
      <c r="M262" s="292">
        <v>3758.57</v>
      </c>
      <c r="N262" s="572"/>
      <c r="O262" s="379"/>
      <c r="P262" s="379">
        <v>694547</v>
      </c>
      <c r="Q262" s="572"/>
      <c r="R262" s="379">
        <v>5453</v>
      </c>
      <c r="S262" s="278" t="s">
        <v>40</v>
      </c>
      <c r="T262" s="299">
        <v>42100</v>
      </c>
      <c r="U262" s="299">
        <v>42130</v>
      </c>
      <c r="V262" s="300"/>
      <c r="W262" s="301">
        <v>1</v>
      </c>
      <c r="X262" s="283"/>
      <c r="Y262" s="623"/>
      <c r="Z262" s="631"/>
    </row>
    <row r="263" spans="1:27" s="390" customFormat="1" ht="27.75" customHeight="1" x14ac:dyDescent="0.2">
      <c r="A263" s="670"/>
      <c r="B263" s="592"/>
      <c r="C263" s="281"/>
      <c r="D263" s="283"/>
      <c r="E263" s="283"/>
      <c r="F263" s="283"/>
      <c r="G263" s="283"/>
      <c r="H263" s="283"/>
      <c r="I263" s="306" t="s">
        <v>219</v>
      </c>
      <c r="J263" s="292">
        <v>13241.43</v>
      </c>
      <c r="K263" s="572"/>
      <c r="L263" s="572"/>
      <c r="M263" s="292">
        <v>13241.43</v>
      </c>
      <c r="N263" s="572"/>
      <c r="O263" s="379"/>
      <c r="P263" s="379"/>
      <c r="Q263" s="572"/>
      <c r="R263" s="379"/>
      <c r="S263" s="278"/>
      <c r="T263" s="299"/>
      <c r="U263" s="299"/>
      <c r="V263" s="300"/>
      <c r="W263" s="301"/>
      <c r="X263" s="283"/>
      <c r="Y263" s="623"/>
      <c r="Z263" s="631"/>
    </row>
    <row r="264" spans="1:27" s="390" customFormat="1" ht="26.25" customHeight="1" x14ac:dyDescent="0.2">
      <c r="A264" s="671"/>
      <c r="B264" s="593"/>
      <c r="C264" s="281"/>
      <c r="D264" s="283"/>
      <c r="E264" s="283"/>
      <c r="F264" s="283"/>
      <c r="G264" s="283"/>
      <c r="H264" s="283"/>
      <c r="I264" s="312" t="s">
        <v>218</v>
      </c>
      <c r="J264" s="292">
        <v>68000</v>
      </c>
      <c r="K264" s="573"/>
      <c r="L264" s="573"/>
      <c r="M264" s="292">
        <v>68000</v>
      </c>
      <c r="N264" s="573"/>
      <c r="O264" s="383"/>
      <c r="P264" s="383"/>
      <c r="Q264" s="573"/>
      <c r="R264" s="383"/>
      <c r="S264" s="278"/>
      <c r="T264" s="299"/>
      <c r="U264" s="299"/>
      <c r="V264" s="300"/>
      <c r="W264" s="301"/>
      <c r="X264" s="283"/>
      <c r="Y264" s="624"/>
      <c r="Z264" s="631"/>
    </row>
    <row r="265" spans="1:27" s="406" customFormat="1" ht="70.5" customHeight="1" x14ac:dyDescent="0.2">
      <c r="A265" s="658" t="s">
        <v>195</v>
      </c>
      <c r="B265" s="658"/>
      <c r="C265" s="367" t="s">
        <v>126</v>
      </c>
      <c r="D265" s="367" t="s">
        <v>126</v>
      </c>
      <c r="E265" s="367" t="s">
        <v>126</v>
      </c>
      <c r="F265" s="367" t="s">
        <v>126</v>
      </c>
      <c r="G265" s="404">
        <f>SUM(G203:G222)</f>
        <v>21389.65</v>
      </c>
      <c r="H265" s="405">
        <f>SUM(H203:H222)</f>
        <v>762</v>
      </c>
      <c r="I265" s="367" t="s">
        <v>126</v>
      </c>
      <c r="J265" s="392">
        <f>SUM(J157:J264)</f>
        <v>35998327.090000004</v>
      </c>
      <c r="K265" s="392">
        <f>SUM(K157:K261)</f>
        <v>27255883.050000001</v>
      </c>
      <c r="L265" s="392">
        <f>SUM(L157:L261)</f>
        <v>27255883.050000001</v>
      </c>
      <c r="M265" s="392">
        <f>SUM(M157:M264)</f>
        <v>27167462.960000005</v>
      </c>
      <c r="N265" s="392">
        <f>SUM(N157:N261)</f>
        <v>27167462.960000001</v>
      </c>
      <c r="O265" s="392">
        <v>-110654</v>
      </c>
      <c r="P265" s="392">
        <v>27056808.960000001</v>
      </c>
      <c r="Q265" s="392"/>
      <c r="R265" s="392">
        <v>199074.09</v>
      </c>
      <c r="S265" s="367" t="s">
        <v>126</v>
      </c>
      <c r="T265" s="367" t="s">
        <v>126</v>
      </c>
      <c r="U265" s="367" t="s">
        <v>126</v>
      </c>
      <c r="V265" s="367" t="s">
        <v>126</v>
      </c>
      <c r="W265" s="367"/>
      <c r="X265" s="367" t="s">
        <v>126</v>
      </c>
      <c r="Y265" s="356">
        <f>AVERAGE(Y157:Y261)</f>
        <v>1</v>
      </c>
      <c r="Z265" s="369" t="s">
        <v>126</v>
      </c>
    </row>
    <row r="266" spans="1:27" s="290" customFormat="1" ht="42.75" customHeight="1" x14ac:dyDescent="0.2">
      <c r="A266" s="644" t="s">
        <v>196</v>
      </c>
      <c r="B266" s="644"/>
      <c r="C266" s="644"/>
      <c r="D266" s="644"/>
      <c r="E266" s="644"/>
      <c r="F266" s="644"/>
      <c r="G266" s="644"/>
      <c r="H266" s="644"/>
      <c r="I266" s="644"/>
      <c r="J266" s="644"/>
      <c r="K266" s="644"/>
      <c r="L266" s="644"/>
      <c r="M266" s="644"/>
      <c r="N266" s="644"/>
      <c r="O266" s="644"/>
      <c r="P266" s="644"/>
      <c r="Q266" s="644"/>
      <c r="R266" s="644"/>
      <c r="S266" s="644"/>
      <c r="T266" s="644"/>
      <c r="U266" s="644"/>
      <c r="V266" s="644"/>
      <c r="W266" s="367"/>
      <c r="X266" s="371"/>
      <c r="Y266" s="371"/>
      <c r="Z266" s="372"/>
    </row>
    <row r="267" spans="1:27" s="390" customFormat="1" ht="31.5" customHeight="1" x14ac:dyDescent="0.2">
      <c r="A267" s="669">
        <v>38</v>
      </c>
      <c r="B267" s="586" t="s">
        <v>197</v>
      </c>
      <c r="C267" s="659">
        <v>1974</v>
      </c>
      <c r="D267" s="649" t="s">
        <v>198</v>
      </c>
      <c r="E267" s="649">
        <v>2</v>
      </c>
      <c r="F267" s="649">
        <v>3</v>
      </c>
      <c r="G267" s="677">
        <v>1753.3</v>
      </c>
      <c r="H267" s="653">
        <v>41</v>
      </c>
      <c r="I267" s="306" t="s">
        <v>29</v>
      </c>
      <c r="J267" s="292">
        <f>148299.84+11582</f>
        <v>159881.84</v>
      </c>
      <c r="K267" s="571">
        <f>J267+J268+J269+J271+J272+J273+J274+J275+J276</f>
        <v>2457156</v>
      </c>
      <c r="L267" s="571">
        <f>2453513.94+3642.06</f>
        <v>2457156</v>
      </c>
      <c r="M267" s="292">
        <f>148299.84+11582</f>
        <v>159881.84</v>
      </c>
      <c r="N267" s="571">
        <f>M267+M268+M269+M270+M271+M272+M273+M274+M275+M276</f>
        <v>2457156</v>
      </c>
      <c r="O267" s="375"/>
      <c r="P267" s="375"/>
      <c r="Q267" s="571" t="s">
        <v>293</v>
      </c>
      <c r="R267" s="571">
        <v>20663</v>
      </c>
      <c r="S267" s="704" t="s">
        <v>199</v>
      </c>
      <c r="T267" s="650">
        <v>41968</v>
      </c>
      <c r="U267" s="299">
        <v>42248</v>
      </c>
      <c r="V267" s="654" t="s">
        <v>200</v>
      </c>
      <c r="W267" s="301">
        <v>1</v>
      </c>
      <c r="X267" s="377"/>
      <c r="Y267" s="625"/>
      <c r="Z267" s="619" t="s">
        <v>229</v>
      </c>
      <c r="AA267" s="407"/>
    </row>
    <row r="268" spans="1:27" s="390" customFormat="1" ht="31.5" customHeight="1" x14ac:dyDescent="0.2">
      <c r="A268" s="670"/>
      <c r="B268" s="592"/>
      <c r="C268" s="659"/>
      <c r="D268" s="649"/>
      <c r="E268" s="649"/>
      <c r="F268" s="649"/>
      <c r="G268" s="677"/>
      <c r="H268" s="653"/>
      <c r="I268" s="306" t="s">
        <v>64</v>
      </c>
      <c r="J268" s="292">
        <f>59093.09+5805.19</f>
        <v>64898.28</v>
      </c>
      <c r="K268" s="572"/>
      <c r="L268" s="572"/>
      <c r="M268" s="292">
        <f>59093.09+5805.19</f>
        <v>64898.28</v>
      </c>
      <c r="N268" s="572"/>
      <c r="O268" s="379"/>
      <c r="P268" s="379"/>
      <c r="Q268" s="572"/>
      <c r="R268" s="572"/>
      <c r="S268" s="704"/>
      <c r="T268" s="650"/>
      <c r="U268" s="299">
        <v>42248</v>
      </c>
      <c r="V268" s="654"/>
      <c r="W268" s="301">
        <v>1</v>
      </c>
      <c r="X268" s="377"/>
      <c r="Y268" s="626"/>
      <c r="Z268" s="620"/>
      <c r="AA268" s="407"/>
    </row>
    <row r="269" spans="1:27" s="390" customFormat="1" ht="31.5" customHeight="1" x14ac:dyDescent="0.2">
      <c r="A269" s="670"/>
      <c r="B269" s="592"/>
      <c r="C269" s="659"/>
      <c r="D269" s="649"/>
      <c r="E269" s="649"/>
      <c r="F269" s="649"/>
      <c r="G269" s="677"/>
      <c r="H269" s="653"/>
      <c r="I269" s="283" t="s">
        <v>57</v>
      </c>
      <c r="J269" s="292">
        <f>172380.09+2635.22</f>
        <v>175015.31</v>
      </c>
      <c r="K269" s="572"/>
      <c r="L269" s="572"/>
      <c r="M269" s="292">
        <f>172380.09+2635.22</f>
        <v>175015.31</v>
      </c>
      <c r="N269" s="572"/>
      <c r="O269" s="379"/>
      <c r="P269" s="379"/>
      <c r="Q269" s="572"/>
      <c r="R269" s="572"/>
      <c r="S269" s="704"/>
      <c r="T269" s="650"/>
      <c r="U269" s="299">
        <v>42248</v>
      </c>
      <c r="V269" s="654"/>
      <c r="W269" s="301">
        <v>1</v>
      </c>
      <c r="X269" s="377"/>
      <c r="Y269" s="626"/>
      <c r="Z269" s="620"/>
      <c r="AA269" s="407"/>
    </row>
    <row r="270" spans="1:27" s="384" customFormat="1" ht="35.25" customHeight="1" x14ac:dyDescent="0.2">
      <c r="A270" s="670"/>
      <c r="B270" s="592"/>
      <c r="C270" s="659"/>
      <c r="D270" s="649"/>
      <c r="E270" s="649"/>
      <c r="F270" s="649"/>
      <c r="G270" s="677"/>
      <c r="H270" s="653"/>
      <c r="I270" s="306" t="s">
        <v>37</v>
      </c>
      <c r="J270" s="292">
        <v>173354.94</v>
      </c>
      <c r="K270" s="572"/>
      <c r="L270" s="572"/>
      <c r="M270" s="292"/>
      <c r="N270" s="572"/>
      <c r="O270" s="379"/>
      <c r="P270" s="379"/>
      <c r="Q270" s="572"/>
      <c r="R270" s="572"/>
      <c r="S270" s="278"/>
      <c r="T270" s="318"/>
      <c r="U270" s="318"/>
      <c r="V270" s="654"/>
      <c r="W270" s="301">
        <v>0.1</v>
      </c>
      <c r="X270" s="377"/>
      <c r="Y270" s="626"/>
      <c r="Z270" s="620"/>
      <c r="AA270" s="408"/>
    </row>
    <row r="271" spans="1:27" s="390" customFormat="1" ht="34.15" customHeight="1" x14ac:dyDescent="0.2">
      <c r="A271" s="670"/>
      <c r="B271" s="592"/>
      <c r="C271" s="659"/>
      <c r="D271" s="649"/>
      <c r="E271" s="649"/>
      <c r="F271" s="649"/>
      <c r="G271" s="677"/>
      <c r="H271" s="653"/>
      <c r="I271" s="306" t="s">
        <v>35</v>
      </c>
      <c r="J271" s="292">
        <v>1268075.6000000001</v>
      </c>
      <c r="K271" s="572"/>
      <c r="L271" s="572"/>
      <c r="M271" s="292">
        <v>1268075.6000000001</v>
      </c>
      <c r="N271" s="572"/>
      <c r="O271" s="379"/>
      <c r="P271" s="379"/>
      <c r="Q271" s="572"/>
      <c r="R271" s="572"/>
      <c r="S271" s="704" t="s">
        <v>199</v>
      </c>
      <c r="T271" s="650">
        <v>41968</v>
      </c>
      <c r="U271" s="318">
        <v>42217</v>
      </c>
      <c r="V271" s="654"/>
      <c r="W271" s="301">
        <v>1</v>
      </c>
      <c r="X271" s="377"/>
      <c r="Y271" s="626"/>
      <c r="Z271" s="620"/>
      <c r="AA271" s="407"/>
    </row>
    <row r="272" spans="1:27" s="390" customFormat="1" ht="39.4" customHeight="1" x14ac:dyDescent="0.2">
      <c r="A272" s="670"/>
      <c r="B272" s="592"/>
      <c r="C272" s="659"/>
      <c r="D272" s="649"/>
      <c r="E272" s="649"/>
      <c r="F272" s="649"/>
      <c r="G272" s="677"/>
      <c r="H272" s="653"/>
      <c r="I272" s="306" t="s">
        <v>43</v>
      </c>
      <c r="J272" s="292">
        <v>263587.39</v>
      </c>
      <c r="K272" s="572"/>
      <c r="L272" s="572"/>
      <c r="M272" s="292">
        <v>263587.39</v>
      </c>
      <c r="N272" s="575"/>
      <c r="O272" s="393">
        <v>-20663</v>
      </c>
      <c r="P272" s="403">
        <v>2436493</v>
      </c>
      <c r="Q272" s="572"/>
      <c r="R272" s="572"/>
      <c r="S272" s="704"/>
      <c r="T272" s="650"/>
      <c r="U272" s="318">
        <v>42217</v>
      </c>
      <c r="V272" s="654"/>
      <c r="W272" s="301">
        <v>1</v>
      </c>
      <c r="X272" s="377"/>
      <c r="Y272" s="626"/>
      <c r="Z272" s="620"/>
      <c r="AA272" s="407"/>
    </row>
    <row r="273" spans="1:28" s="390" customFormat="1" ht="62.85" customHeight="1" x14ac:dyDescent="0.2">
      <c r="A273" s="670"/>
      <c r="B273" s="592"/>
      <c r="C273" s="281"/>
      <c r="D273" s="283"/>
      <c r="E273" s="283"/>
      <c r="F273" s="283"/>
      <c r="G273" s="292"/>
      <c r="H273" s="293"/>
      <c r="I273" s="306" t="s">
        <v>39</v>
      </c>
      <c r="J273" s="292">
        <v>3642.06</v>
      </c>
      <c r="K273" s="572"/>
      <c r="L273" s="572"/>
      <c r="M273" s="292">
        <v>3642.06</v>
      </c>
      <c r="N273" s="572"/>
      <c r="O273" s="379"/>
      <c r="P273" s="379"/>
      <c r="Q273" s="572"/>
      <c r="R273" s="572"/>
      <c r="S273" s="278" t="s">
        <v>40</v>
      </c>
      <c r="T273" s="299">
        <v>42100</v>
      </c>
      <c r="U273" s="299">
        <v>42130</v>
      </c>
      <c r="V273" s="300"/>
      <c r="W273" s="301">
        <v>1</v>
      </c>
      <c r="X273" s="377"/>
      <c r="Y273" s="626"/>
      <c r="Z273" s="620"/>
      <c r="AA273" s="407"/>
      <c r="AB273" s="409"/>
    </row>
    <row r="274" spans="1:28" s="390" customFormat="1" ht="28.5" customHeight="1" x14ac:dyDescent="0.2">
      <c r="A274" s="670"/>
      <c r="B274" s="592"/>
      <c r="C274" s="281"/>
      <c r="D274" s="283"/>
      <c r="E274" s="283"/>
      <c r="F274" s="283"/>
      <c r="G274" s="292"/>
      <c r="H274" s="293"/>
      <c r="I274" s="306" t="s">
        <v>219</v>
      </c>
      <c r="J274" s="292">
        <v>48013.94</v>
      </c>
      <c r="K274" s="572"/>
      <c r="L274" s="572"/>
      <c r="M274" s="292">
        <v>48013.94</v>
      </c>
      <c r="N274" s="572"/>
      <c r="O274" s="379"/>
      <c r="P274" s="379"/>
      <c r="Q274" s="572"/>
      <c r="R274" s="572"/>
      <c r="S274" s="278"/>
      <c r="T274" s="299"/>
      <c r="U274" s="299"/>
      <c r="V274" s="300"/>
      <c r="W274" s="301"/>
      <c r="X274" s="377"/>
      <c r="Y274" s="626"/>
      <c r="Z274" s="620"/>
      <c r="AA274" s="407"/>
    </row>
    <row r="275" spans="1:28" s="390" customFormat="1" ht="30" customHeight="1" x14ac:dyDescent="0.2">
      <c r="A275" s="670"/>
      <c r="B275" s="592"/>
      <c r="C275" s="281"/>
      <c r="D275" s="283"/>
      <c r="E275" s="283"/>
      <c r="F275" s="283"/>
      <c r="G275" s="292"/>
      <c r="H275" s="293"/>
      <c r="I275" s="312" t="s">
        <v>218</v>
      </c>
      <c r="J275" s="292">
        <v>165500</v>
      </c>
      <c r="K275" s="572"/>
      <c r="L275" s="572"/>
      <c r="M275" s="292">
        <v>165500</v>
      </c>
      <c r="N275" s="572"/>
      <c r="O275" s="379"/>
      <c r="P275" s="379"/>
      <c r="Q275" s="572"/>
      <c r="R275" s="572"/>
      <c r="S275" s="278"/>
      <c r="T275" s="299"/>
      <c r="U275" s="299"/>
      <c r="V275" s="300"/>
      <c r="W275" s="301"/>
      <c r="X275" s="377"/>
      <c r="Y275" s="626"/>
      <c r="Z275" s="629"/>
      <c r="AA275" s="407"/>
    </row>
    <row r="276" spans="1:28" s="390" customFormat="1" ht="62.25" customHeight="1" x14ac:dyDescent="0.2">
      <c r="A276" s="671"/>
      <c r="B276" s="593"/>
      <c r="C276" s="281"/>
      <c r="D276" s="283"/>
      <c r="E276" s="283"/>
      <c r="F276" s="283"/>
      <c r="G276" s="292"/>
      <c r="H276" s="293"/>
      <c r="I276" s="306" t="s">
        <v>249</v>
      </c>
      <c r="J276" s="292">
        <v>308541.58</v>
      </c>
      <c r="K276" s="573"/>
      <c r="L276" s="573"/>
      <c r="M276" s="292">
        <v>308541.58</v>
      </c>
      <c r="N276" s="573"/>
      <c r="O276" s="383"/>
      <c r="P276" s="383"/>
      <c r="Q276" s="573"/>
      <c r="R276" s="573"/>
      <c r="S276" s="278" t="s">
        <v>248</v>
      </c>
      <c r="T276" s="299"/>
      <c r="U276" s="299">
        <v>42262</v>
      </c>
      <c r="V276" s="300"/>
      <c r="W276" s="301">
        <v>1</v>
      </c>
      <c r="X276" s="377"/>
      <c r="Y276" s="627"/>
      <c r="Z276" s="410" t="s">
        <v>262</v>
      </c>
      <c r="AA276" s="407"/>
    </row>
    <row r="277" spans="1:28" s="390" customFormat="1" ht="45" customHeight="1" x14ac:dyDescent="0.2">
      <c r="A277" s="669">
        <v>39</v>
      </c>
      <c r="B277" s="586" t="s">
        <v>201</v>
      </c>
      <c r="C277" s="281"/>
      <c r="D277" s="283"/>
      <c r="E277" s="283"/>
      <c r="F277" s="283"/>
      <c r="G277" s="292"/>
      <c r="H277" s="293"/>
      <c r="I277" s="306" t="s">
        <v>35</v>
      </c>
      <c r="J277" s="292">
        <f>744795.84+245675.97</f>
        <v>990471.80999999994</v>
      </c>
      <c r="K277" s="571">
        <f>SUM(J277:J282)</f>
        <v>1382754</v>
      </c>
      <c r="L277" s="571">
        <v>1382754</v>
      </c>
      <c r="M277" s="292">
        <f>744795.84+245675.97</f>
        <v>990471.80999999994</v>
      </c>
      <c r="N277" s="571">
        <v>1230963.47</v>
      </c>
      <c r="O277" s="375"/>
      <c r="P277" s="375"/>
      <c r="Q277" s="571">
        <v>151790.53</v>
      </c>
      <c r="R277" s="571">
        <v>151790.53</v>
      </c>
      <c r="S277" s="278" t="s">
        <v>202</v>
      </c>
      <c r="T277" s="318">
        <v>41988</v>
      </c>
      <c r="U277" s="318">
        <v>42200</v>
      </c>
      <c r="V277" s="300"/>
      <c r="W277" s="301">
        <v>1</v>
      </c>
      <c r="X277" s="377"/>
      <c r="Y277" s="625"/>
      <c r="Z277" s="620" t="s">
        <v>229</v>
      </c>
      <c r="AA277" s="407"/>
    </row>
    <row r="278" spans="1:28" s="390" customFormat="1" ht="45" customHeight="1" x14ac:dyDescent="0.2">
      <c r="A278" s="670"/>
      <c r="B278" s="592"/>
      <c r="C278" s="281"/>
      <c r="D278" s="283"/>
      <c r="E278" s="283"/>
      <c r="F278" s="283"/>
      <c r="G278" s="292"/>
      <c r="H278" s="293"/>
      <c r="I278" s="306" t="s">
        <v>250</v>
      </c>
      <c r="J278" s="292">
        <v>152737.66</v>
      </c>
      <c r="K278" s="572"/>
      <c r="L278" s="572"/>
      <c r="M278" s="292">
        <v>152737.66</v>
      </c>
      <c r="N278" s="572"/>
      <c r="O278" s="379"/>
      <c r="P278" s="276"/>
      <c r="Q278" s="572"/>
      <c r="R278" s="572"/>
      <c r="S278" s="278"/>
      <c r="T278" s="318"/>
      <c r="U278" s="318"/>
      <c r="V278" s="300"/>
      <c r="W278" s="301"/>
      <c r="X278" s="377"/>
      <c r="Y278" s="626"/>
      <c r="Z278" s="620"/>
      <c r="AA278" s="407"/>
    </row>
    <row r="279" spans="1:28" s="384" customFormat="1" ht="67.150000000000006" customHeight="1" x14ac:dyDescent="0.2">
      <c r="A279" s="670"/>
      <c r="B279" s="592"/>
      <c r="C279" s="281"/>
      <c r="D279" s="283"/>
      <c r="E279" s="283"/>
      <c r="F279" s="283"/>
      <c r="G279" s="292"/>
      <c r="H279" s="293"/>
      <c r="I279" s="306" t="s">
        <v>39</v>
      </c>
      <c r="J279" s="292">
        <v>40.14</v>
      </c>
      <c r="K279" s="572"/>
      <c r="L279" s="572"/>
      <c r="M279" s="292">
        <v>40.14</v>
      </c>
      <c r="N279" s="572"/>
      <c r="O279" s="379">
        <v>0</v>
      </c>
      <c r="P279" s="385">
        <v>1230963.47</v>
      </c>
      <c r="Q279" s="572"/>
      <c r="R279" s="572"/>
      <c r="S279" s="278" t="s">
        <v>40</v>
      </c>
      <c r="T279" s="299">
        <v>42100</v>
      </c>
      <c r="U279" s="299">
        <v>42130</v>
      </c>
      <c r="V279" s="300"/>
      <c r="W279" s="301">
        <v>1</v>
      </c>
      <c r="X279" s="377"/>
      <c r="Y279" s="626"/>
      <c r="Z279" s="620"/>
      <c r="AA279" s="408"/>
      <c r="AB279" s="400"/>
    </row>
    <row r="280" spans="1:28" s="384" customFormat="1" ht="33.75" customHeight="1" x14ac:dyDescent="0.2">
      <c r="A280" s="670"/>
      <c r="B280" s="592"/>
      <c r="C280" s="281"/>
      <c r="D280" s="283"/>
      <c r="E280" s="283"/>
      <c r="F280" s="283"/>
      <c r="G280" s="292"/>
      <c r="H280" s="293"/>
      <c r="I280" s="306" t="s">
        <v>219</v>
      </c>
      <c r="J280" s="292">
        <v>27713.86</v>
      </c>
      <c r="K280" s="572"/>
      <c r="L280" s="572"/>
      <c r="M280" s="292">
        <v>27713.86</v>
      </c>
      <c r="N280" s="572"/>
      <c r="O280" s="379"/>
      <c r="P280" s="276"/>
      <c r="Q280" s="572"/>
      <c r="R280" s="572"/>
      <c r="S280" s="278"/>
      <c r="T280" s="299"/>
      <c r="U280" s="299"/>
      <c r="V280" s="300"/>
      <c r="W280" s="301"/>
      <c r="X280" s="377"/>
      <c r="Y280" s="626"/>
      <c r="Z280" s="620"/>
      <c r="AA280" s="408"/>
    </row>
    <row r="281" spans="1:28" s="384" customFormat="1" ht="29.25" customHeight="1" x14ac:dyDescent="0.2">
      <c r="A281" s="671"/>
      <c r="B281" s="592"/>
      <c r="C281" s="281"/>
      <c r="D281" s="283"/>
      <c r="E281" s="283"/>
      <c r="F281" s="283"/>
      <c r="G281" s="292"/>
      <c r="H281" s="293"/>
      <c r="I281" s="312" t="s">
        <v>218</v>
      </c>
      <c r="J281" s="292">
        <v>60000</v>
      </c>
      <c r="K281" s="572"/>
      <c r="L281" s="572"/>
      <c r="M281" s="292">
        <v>60000</v>
      </c>
      <c r="N281" s="572"/>
      <c r="O281" s="379"/>
      <c r="P281" s="276"/>
      <c r="Q281" s="572"/>
      <c r="R281" s="572"/>
      <c r="S281" s="278"/>
      <c r="T281" s="299"/>
      <c r="U281" s="299"/>
      <c r="V281" s="300"/>
      <c r="W281" s="301"/>
      <c r="X281" s="377"/>
      <c r="Y281" s="626"/>
      <c r="Z281" s="621"/>
      <c r="AA281" s="408"/>
    </row>
    <row r="282" spans="1:28" s="384" customFormat="1" ht="29.25" customHeight="1" x14ac:dyDescent="0.2">
      <c r="A282" s="305"/>
      <c r="B282" s="593"/>
      <c r="C282" s="281"/>
      <c r="D282" s="283"/>
      <c r="E282" s="283"/>
      <c r="F282" s="283"/>
      <c r="G282" s="292"/>
      <c r="H282" s="293"/>
      <c r="I282" s="306" t="s">
        <v>257</v>
      </c>
      <c r="J282" s="311">
        <v>151790.53</v>
      </c>
      <c r="K282" s="573"/>
      <c r="L282" s="573"/>
      <c r="M282" s="311" t="s">
        <v>270</v>
      </c>
      <c r="N282" s="573"/>
      <c r="O282" s="383"/>
      <c r="P282" s="280"/>
      <c r="Q282" s="573"/>
      <c r="R282" s="573"/>
      <c r="S282" s="278"/>
      <c r="T282" s="299"/>
      <c r="U282" s="299"/>
      <c r="V282" s="300"/>
      <c r="W282" s="301">
        <v>0</v>
      </c>
      <c r="X282" s="377"/>
      <c r="Y282" s="628"/>
      <c r="Z282" s="289" t="s">
        <v>251</v>
      </c>
      <c r="AA282" s="408"/>
    </row>
    <row r="283" spans="1:28" s="390" customFormat="1" ht="36.200000000000003" customHeight="1" x14ac:dyDescent="0.2">
      <c r="A283" s="669">
        <v>40</v>
      </c>
      <c r="B283" s="586" t="s">
        <v>204</v>
      </c>
      <c r="C283" s="659">
        <v>1937</v>
      </c>
      <c r="D283" s="649" t="s">
        <v>198</v>
      </c>
      <c r="E283" s="649">
        <v>3</v>
      </c>
      <c r="F283" s="649">
        <v>2</v>
      </c>
      <c r="G283" s="677">
        <v>995.6</v>
      </c>
      <c r="H283" s="653">
        <v>43</v>
      </c>
      <c r="I283" s="306" t="s">
        <v>29</v>
      </c>
      <c r="J283" s="292">
        <f>300863.58+63361.19</f>
        <v>364224.77</v>
      </c>
      <c r="K283" s="571">
        <f>J283+J284+J285+J286+J287+J288+J289+J290</f>
        <v>3033779.5</v>
      </c>
      <c r="L283" s="571">
        <f>3033277.15+502.35</f>
        <v>3033779.5</v>
      </c>
      <c r="M283" s="292">
        <f>300863.58+63361.19</f>
        <v>364224.77</v>
      </c>
      <c r="N283" s="571">
        <f>M283+M284+M285+M286+M287+M288+M289+M290</f>
        <v>3033779.5</v>
      </c>
      <c r="O283" s="571">
        <v>0</v>
      </c>
      <c r="P283" s="571">
        <v>3033779.5</v>
      </c>
      <c r="Q283" s="594">
        <f>K283-L283</f>
        <v>0</v>
      </c>
      <c r="R283" s="594">
        <v>0</v>
      </c>
      <c r="S283" s="704" t="s">
        <v>205</v>
      </c>
      <c r="T283" s="650">
        <v>41988</v>
      </c>
      <c r="U283" s="318">
        <v>42200</v>
      </c>
      <c r="V283" s="654" t="s">
        <v>200</v>
      </c>
      <c r="W283" s="301">
        <v>1</v>
      </c>
      <c r="X283" s="377"/>
      <c r="Y283" s="625"/>
      <c r="Z283" s="289"/>
      <c r="AA283" s="407"/>
    </row>
    <row r="284" spans="1:28" s="390" customFormat="1" ht="36.200000000000003" customHeight="1" x14ac:dyDescent="0.2">
      <c r="A284" s="670"/>
      <c r="B284" s="592"/>
      <c r="C284" s="659"/>
      <c r="D284" s="649"/>
      <c r="E284" s="649"/>
      <c r="F284" s="649"/>
      <c r="G284" s="677"/>
      <c r="H284" s="653"/>
      <c r="I284" s="306" t="s">
        <v>64</v>
      </c>
      <c r="J284" s="292">
        <f>122425.62+103736.75</f>
        <v>226162.37</v>
      </c>
      <c r="K284" s="572"/>
      <c r="L284" s="572"/>
      <c r="M284" s="292">
        <f>122425.62+103736.75</f>
        <v>226162.37</v>
      </c>
      <c r="N284" s="572"/>
      <c r="O284" s="577"/>
      <c r="P284" s="572"/>
      <c r="Q284" s="595"/>
      <c r="R284" s="595"/>
      <c r="S284" s="704"/>
      <c r="T284" s="650"/>
      <c r="U284" s="318">
        <v>42200</v>
      </c>
      <c r="V284" s="654"/>
      <c r="W284" s="301">
        <v>1</v>
      </c>
      <c r="X284" s="377"/>
      <c r="Y284" s="626"/>
      <c r="Z284" s="289"/>
      <c r="AA284" s="407"/>
    </row>
    <row r="285" spans="1:28" s="390" customFormat="1" ht="67.150000000000006" customHeight="1" x14ac:dyDescent="0.2">
      <c r="A285" s="670"/>
      <c r="B285" s="592"/>
      <c r="C285" s="659"/>
      <c r="D285" s="649"/>
      <c r="E285" s="649"/>
      <c r="F285" s="649"/>
      <c r="G285" s="677"/>
      <c r="H285" s="653"/>
      <c r="I285" s="283" t="s">
        <v>57</v>
      </c>
      <c r="J285" s="292">
        <v>1168448.31</v>
      </c>
      <c r="K285" s="572"/>
      <c r="L285" s="572"/>
      <c r="M285" s="292">
        <v>1168448.31</v>
      </c>
      <c r="N285" s="572"/>
      <c r="O285" s="577"/>
      <c r="P285" s="572"/>
      <c r="Q285" s="595"/>
      <c r="R285" s="595"/>
      <c r="S285" s="704"/>
      <c r="T285" s="650"/>
      <c r="U285" s="299">
        <v>42262</v>
      </c>
      <c r="V285" s="654"/>
      <c r="W285" s="301">
        <v>0</v>
      </c>
      <c r="X285" s="377"/>
      <c r="Y285" s="626"/>
      <c r="Z285" s="289"/>
      <c r="AA285" s="407"/>
    </row>
    <row r="286" spans="1:28" s="390" customFormat="1" ht="59.65" customHeight="1" x14ac:dyDescent="0.2">
      <c r="A286" s="670"/>
      <c r="B286" s="592"/>
      <c r="C286" s="659"/>
      <c r="D286" s="649"/>
      <c r="E286" s="649"/>
      <c r="F286" s="649"/>
      <c r="G286" s="677"/>
      <c r="H286" s="653"/>
      <c r="I286" s="283" t="s">
        <v>37</v>
      </c>
      <c r="J286" s="599">
        <f>790161.39+127003.16</f>
        <v>917164.55</v>
      </c>
      <c r="K286" s="572"/>
      <c r="L286" s="572"/>
      <c r="M286" s="599">
        <f>790161.39+127003.16</f>
        <v>917164.55</v>
      </c>
      <c r="N286" s="572"/>
      <c r="O286" s="577"/>
      <c r="P286" s="572"/>
      <c r="Q286" s="595"/>
      <c r="R286" s="595"/>
      <c r="S286" s="278" t="s">
        <v>205</v>
      </c>
      <c r="T286" s="318">
        <v>41988</v>
      </c>
      <c r="U286" s="318">
        <v>42217</v>
      </c>
      <c r="V286" s="654"/>
      <c r="W286" s="301">
        <v>1</v>
      </c>
      <c r="X286" s="377"/>
      <c r="Y286" s="626"/>
      <c r="Z286" s="289"/>
      <c r="AA286" s="407"/>
    </row>
    <row r="287" spans="1:28" s="390" customFormat="1" ht="57.6" customHeight="1" x14ac:dyDescent="0.2">
      <c r="A287" s="670"/>
      <c r="B287" s="592"/>
      <c r="C287" s="659"/>
      <c r="D287" s="649"/>
      <c r="E287" s="649"/>
      <c r="F287" s="649"/>
      <c r="G287" s="677"/>
      <c r="H287" s="653"/>
      <c r="I287" s="306" t="s">
        <v>206</v>
      </c>
      <c r="J287" s="735"/>
      <c r="K287" s="572"/>
      <c r="L287" s="572"/>
      <c r="M287" s="735"/>
      <c r="N287" s="572"/>
      <c r="O287" s="577"/>
      <c r="P287" s="572"/>
      <c r="Q287" s="595"/>
      <c r="R287" s="595"/>
      <c r="S287" s="278" t="s">
        <v>258</v>
      </c>
      <c r="T287" s="318">
        <v>41988</v>
      </c>
      <c r="U287" s="318">
        <v>42200</v>
      </c>
      <c r="V287" s="654"/>
      <c r="W287" s="301">
        <v>1</v>
      </c>
      <c r="X287" s="377"/>
      <c r="Y287" s="626"/>
      <c r="Z287" s="289"/>
      <c r="AA287" s="407"/>
      <c r="AB287" s="409"/>
    </row>
    <row r="288" spans="1:28" s="390" customFormat="1" ht="60.75" customHeight="1" x14ac:dyDescent="0.2">
      <c r="A288" s="670"/>
      <c r="B288" s="592"/>
      <c r="C288" s="281"/>
      <c r="D288" s="283"/>
      <c r="E288" s="283"/>
      <c r="F288" s="283"/>
      <c r="G288" s="292"/>
      <c r="H288" s="293"/>
      <c r="I288" s="306" t="s">
        <v>39</v>
      </c>
      <c r="J288" s="292">
        <v>502.35</v>
      </c>
      <c r="K288" s="572"/>
      <c r="L288" s="572"/>
      <c r="M288" s="292">
        <v>502.35</v>
      </c>
      <c r="N288" s="572"/>
      <c r="O288" s="577"/>
      <c r="P288" s="572"/>
      <c r="Q288" s="595"/>
      <c r="R288" s="595"/>
      <c r="S288" s="278" t="s">
        <v>40</v>
      </c>
      <c r="T288" s="299">
        <v>42100</v>
      </c>
      <c r="U288" s="299">
        <v>42130</v>
      </c>
      <c r="V288" s="300"/>
      <c r="W288" s="301">
        <v>1</v>
      </c>
      <c r="X288" s="377"/>
      <c r="Y288" s="626"/>
      <c r="Z288" s="289"/>
      <c r="AA288" s="407"/>
    </row>
    <row r="289" spans="1:27" s="390" customFormat="1" ht="27.75" customHeight="1" x14ac:dyDescent="0.2">
      <c r="A289" s="670"/>
      <c r="B289" s="592"/>
      <c r="C289" s="309"/>
      <c r="D289" s="310"/>
      <c r="E289" s="310"/>
      <c r="F289" s="310"/>
      <c r="G289" s="311"/>
      <c r="H289" s="291"/>
      <c r="I289" s="374" t="s">
        <v>219</v>
      </c>
      <c r="J289" s="311">
        <v>57277.15</v>
      </c>
      <c r="K289" s="572"/>
      <c r="L289" s="572"/>
      <c r="M289" s="311">
        <v>57277.15</v>
      </c>
      <c r="N289" s="572"/>
      <c r="O289" s="577"/>
      <c r="P289" s="572"/>
      <c r="Q289" s="595"/>
      <c r="R289" s="595"/>
      <c r="S289" s="328"/>
      <c r="T289" s="344"/>
      <c r="U289" s="344"/>
      <c r="V289" s="313"/>
      <c r="W289" s="319"/>
      <c r="X289" s="411"/>
      <c r="Y289" s="626"/>
      <c r="Z289" s="316"/>
      <c r="AA289" s="407"/>
    </row>
    <row r="290" spans="1:27" s="390" customFormat="1" ht="25.5" customHeight="1" x14ac:dyDescent="0.2">
      <c r="A290" s="671"/>
      <c r="B290" s="593"/>
      <c r="C290" s="309"/>
      <c r="D290" s="310"/>
      <c r="E290" s="310"/>
      <c r="F290" s="310"/>
      <c r="G290" s="311"/>
      <c r="H290" s="291"/>
      <c r="I290" s="412" t="s">
        <v>218</v>
      </c>
      <c r="J290" s="311">
        <v>300000</v>
      </c>
      <c r="K290" s="573"/>
      <c r="L290" s="573"/>
      <c r="M290" s="311">
        <v>300000</v>
      </c>
      <c r="N290" s="573"/>
      <c r="O290" s="578"/>
      <c r="P290" s="573"/>
      <c r="Q290" s="596"/>
      <c r="R290" s="596"/>
      <c r="S290" s="328"/>
      <c r="T290" s="344"/>
      <c r="U290" s="344"/>
      <c r="V290" s="313"/>
      <c r="W290" s="319"/>
      <c r="X290" s="411"/>
      <c r="Y290" s="628"/>
      <c r="Z290" s="316"/>
      <c r="AA290" s="407"/>
    </row>
    <row r="291" spans="1:27" s="370" customFormat="1" ht="33.75" customHeight="1" thickBot="1" x14ac:dyDescent="0.25">
      <c r="A291" s="736" t="s">
        <v>207</v>
      </c>
      <c r="B291" s="736"/>
      <c r="C291" s="413" t="s">
        <v>126</v>
      </c>
      <c r="D291" s="413" t="s">
        <v>126</v>
      </c>
      <c r="E291" s="413" t="s">
        <v>126</v>
      </c>
      <c r="F291" s="413" t="s">
        <v>126</v>
      </c>
      <c r="G291" s="375">
        <f>SUM(G267:G287)</f>
        <v>2748.9</v>
      </c>
      <c r="H291" s="414">
        <f>SUM(H267:H287)</f>
        <v>84</v>
      </c>
      <c r="I291" s="413" t="s">
        <v>126</v>
      </c>
      <c r="J291" s="375">
        <f>SUM(J267:J290)</f>
        <v>7047044.4400000004</v>
      </c>
      <c r="K291" s="375">
        <f>SUM(K267:K287)</f>
        <v>6873689.5</v>
      </c>
      <c r="L291" s="375">
        <f>SUM(L267:L287)</f>
        <v>6873689.5</v>
      </c>
      <c r="M291" s="375"/>
      <c r="N291" s="375">
        <f>SUM(N267:N290)</f>
        <v>6721898.9699999997</v>
      </c>
      <c r="O291" s="375"/>
      <c r="P291" s="375">
        <v>6701235.9699999997</v>
      </c>
      <c r="Q291" s="375"/>
      <c r="R291" s="375"/>
      <c r="S291" s="413" t="s">
        <v>126</v>
      </c>
      <c r="T291" s="413" t="s">
        <v>126</v>
      </c>
      <c r="U291" s="413" t="s">
        <v>126</v>
      </c>
      <c r="V291" s="413" t="s">
        <v>126</v>
      </c>
      <c r="W291" s="413"/>
      <c r="X291" s="413" t="s">
        <v>126</v>
      </c>
      <c r="Y291" s="302"/>
      <c r="Z291" s="415" t="s">
        <v>126</v>
      </c>
    </row>
    <row r="292" spans="1:27" s="422" customFormat="1" ht="71.45" customHeight="1" thickBot="1" x14ac:dyDescent="0.25">
      <c r="A292" s="737" t="s">
        <v>216</v>
      </c>
      <c r="B292" s="738"/>
      <c r="C292" s="416" t="s">
        <v>126</v>
      </c>
      <c r="D292" s="416" t="s">
        <v>126</v>
      </c>
      <c r="E292" s="416" t="s">
        <v>126</v>
      </c>
      <c r="F292" s="416" t="s">
        <v>126</v>
      </c>
      <c r="G292" s="417">
        <v>185425.67</v>
      </c>
      <c r="H292" s="418">
        <v>153319</v>
      </c>
      <c r="I292" s="416" t="s">
        <v>126</v>
      </c>
      <c r="J292" s="419">
        <f>J291+J265+J155+J123</f>
        <v>120398192.40000001</v>
      </c>
      <c r="K292" s="419">
        <f>K291+K265+K155+K123</f>
        <v>111717169.22</v>
      </c>
      <c r="L292" s="419">
        <f>L291+L265+L155+L123</f>
        <v>110717169.22</v>
      </c>
      <c r="M292" s="419">
        <f>M291+M265+M155+M123</f>
        <v>104275184.68000001</v>
      </c>
      <c r="N292" s="419"/>
      <c r="O292" s="419"/>
      <c r="P292" s="419"/>
      <c r="Q292" s="419">
        <f>Q291+Q265+Q155+Q123</f>
        <v>0</v>
      </c>
      <c r="R292" s="419"/>
      <c r="S292" s="416" t="s">
        <v>126</v>
      </c>
      <c r="T292" s="416" t="s">
        <v>126</v>
      </c>
      <c r="U292" s="416" t="s">
        <v>126</v>
      </c>
      <c r="V292" s="416" t="s">
        <v>126</v>
      </c>
      <c r="W292" s="416"/>
      <c r="X292" s="416" t="s">
        <v>126</v>
      </c>
      <c r="Y292" s="420"/>
      <c r="Z292" s="421" t="s">
        <v>126</v>
      </c>
    </row>
    <row r="293" spans="1:27" x14ac:dyDescent="0.2">
      <c r="D293" s="16"/>
      <c r="E293" s="16"/>
      <c r="F293" s="16"/>
      <c r="G293" s="16"/>
      <c r="H293" s="16"/>
      <c r="I293" s="237"/>
      <c r="J293" s="237"/>
      <c r="K293" s="237"/>
      <c r="L293" s="237"/>
      <c r="M293" s="424"/>
      <c r="N293" s="424"/>
      <c r="O293" s="424"/>
      <c r="P293" s="424"/>
      <c r="Q293" s="237"/>
      <c r="R293" s="237"/>
      <c r="S293" s="237"/>
      <c r="T293" s="237"/>
      <c r="U293" s="237"/>
      <c r="V293" s="16"/>
      <c r="W293" s="237"/>
      <c r="X293" s="16"/>
      <c r="Y293" s="237"/>
      <c r="Z293" s="237"/>
      <c r="AA293" s="237"/>
    </row>
    <row r="294" spans="1:27" x14ac:dyDescent="0.2">
      <c r="D294" s="16"/>
      <c r="E294" s="16"/>
      <c r="F294" s="16"/>
      <c r="G294" s="16"/>
      <c r="H294" s="16"/>
      <c r="I294" s="237"/>
      <c r="J294" s="237"/>
      <c r="K294" s="237"/>
      <c r="L294" s="237"/>
      <c r="M294" s="424"/>
      <c r="N294" s="424"/>
      <c r="O294" s="424"/>
      <c r="P294" s="424"/>
      <c r="Q294" s="237"/>
      <c r="R294" s="237"/>
      <c r="S294" s="237"/>
      <c r="T294" s="237"/>
      <c r="U294" s="237"/>
      <c r="V294" s="16"/>
      <c r="W294" s="237"/>
      <c r="X294" s="16"/>
      <c r="Y294" s="237"/>
      <c r="Z294" s="237"/>
      <c r="AA294" s="237"/>
    </row>
    <row r="295" spans="1:27" x14ac:dyDescent="0.2">
      <c r="D295" s="16"/>
      <c r="E295" s="16"/>
      <c r="F295" s="16"/>
      <c r="G295" s="16"/>
      <c r="H295" s="16"/>
      <c r="I295" s="237"/>
      <c r="J295" s="237"/>
      <c r="K295" s="237"/>
      <c r="L295" s="237"/>
      <c r="M295" s="424"/>
      <c r="N295" s="424"/>
      <c r="O295" s="424"/>
      <c r="P295" s="424"/>
      <c r="Q295" s="237"/>
      <c r="R295" s="237"/>
      <c r="S295" s="237"/>
      <c r="T295" s="237"/>
      <c r="U295" s="237"/>
      <c r="V295" s="16"/>
      <c r="W295" s="237"/>
      <c r="X295" s="16"/>
      <c r="Y295" s="237"/>
      <c r="Z295" s="237"/>
      <c r="AA295" s="237"/>
    </row>
    <row r="296" spans="1:27" x14ac:dyDescent="0.2">
      <c r="D296" s="16"/>
      <c r="E296" s="16"/>
      <c r="F296" s="16"/>
      <c r="G296" s="16"/>
      <c r="H296" s="16"/>
      <c r="I296" s="237"/>
      <c r="J296" s="237"/>
      <c r="K296" s="237"/>
      <c r="L296" s="237"/>
      <c r="M296" s="424"/>
      <c r="N296" s="424"/>
      <c r="O296" s="424"/>
      <c r="P296" s="424"/>
      <c r="Q296" s="237"/>
      <c r="R296" s="237"/>
      <c r="S296" s="237"/>
      <c r="T296" s="237"/>
      <c r="U296" s="237"/>
      <c r="V296" s="16"/>
      <c r="W296" s="237"/>
      <c r="X296" s="16"/>
      <c r="Y296" s="237"/>
      <c r="Z296" s="237"/>
      <c r="AA296" s="237"/>
    </row>
  </sheetData>
  <sheetProtection selectLockedCells="1" selectUnlockedCells="1"/>
  <autoFilter ref="A13:Z292"/>
  <mergeCells count="692">
    <mergeCell ref="B2:T4"/>
    <mergeCell ref="A8:Y8"/>
    <mergeCell ref="B7:T7"/>
    <mergeCell ref="K203:K209"/>
    <mergeCell ref="L203:L209"/>
    <mergeCell ref="R39:R48"/>
    <mergeCell ref="R30:R33"/>
    <mergeCell ref="R34:R38"/>
    <mergeCell ref="R91:R98"/>
    <mergeCell ref="J132:J134"/>
    <mergeCell ref="R151:R154"/>
    <mergeCell ref="L175:L184"/>
    <mergeCell ref="P175:P184"/>
    <mergeCell ref="R112:R118"/>
    <mergeCell ref="R108:R111"/>
    <mergeCell ref="Q49:Q57"/>
    <mergeCell ref="N66:N73"/>
    <mergeCell ref="K216:K221"/>
    <mergeCell ref="L216:L221"/>
    <mergeCell ref="N216:N221"/>
    <mergeCell ref="Q216:Q221"/>
    <mergeCell ref="R216:R221"/>
    <mergeCell ref="A253:A256"/>
    <mergeCell ref="A277:A281"/>
    <mergeCell ref="B277:B282"/>
    <mergeCell ref="B253:B256"/>
    <mergeCell ref="A257:A260"/>
    <mergeCell ref="K91:K98"/>
    <mergeCell ref="B257:B260"/>
    <mergeCell ref="A261:A264"/>
    <mergeCell ref="B261:B264"/>
    <mergeCell ref="G144:G145"/>
    <mergeCell ref="K229:K241"/>
    <mergeCell ref="A139:A143"/>
    <mergeCell ref="B139:B143"/>
    <mergeCell ref="N91:N98"/>
    <mergeCell ref="P81:P90"/>
    <mergeCell ref="C132:C135"/>
    <mergeCell ref="A144:A150"/>
    <mergeCell ref="B144:B150"/>
    <mergeCell ref="E144:E145"/>
    <mergeCell ref="F144:F145"/>
    <mergeCell ref="H144:H145"/>
    <mergeCell ref="T271:T272"/>
    <mergeCell ref="O283:O290"/>
    <mergeCell ref="G283:G287"/>
    <mergeCell ref="Y91:Y98"/>
    <mergeCell ref="V104:V105"/>
    <mergeCell ref="Y81:Y90"/>
    <mergeCell ref="V99:V103"/>
    <mergeCell ref="V203:V205"/>
    <mergeCell ref="J236:J237"/>
    <mergeCell ref="S203:S204"/>
    <mergeCell ref="L210:L215"/>
    <mergeCell ref="G216:G217"/>
    <mergeCell ref="H216:H217"/>
    <mergeCell ref="G229:G235"/>
    <mergeCell ref="H229:H235"/>
    <mergeCell ref="G222:G224"/>
    <mergeCell ref="H222:H224"/>
    <mergeCell ref="Q257:Q260"/>
    <mergeCell ref="K253:K256"/>
    <mergeCell ref="L253:L256"/>
    <mergeCell ref="T222:T224"/>
    <mergeCell ref="V222:V224"/>
    <mergeCell ref="R242:R252"/>
    <mergeCell ref="R99:R103"/>
    <mergeCell ref="A291:B291"/>
    <mergeCell ref="A292:B292"/>
    <mergeCell ref="A283:A290"/>
    <mergeCell ref="B283:B290"/>
    <mergeCell ref="C283:C287"/>
    <mergeCell ref="D283:D287"/>
    <mergeCell ref="E283:E287"/>
    <mergeCell ref="F283:F287"/>
    <mergeCell ref="V283:V287"/>
    <mergeCell ref="S283:S285"/>
    <mergeCell ref="T283:T285"/>
    <mergeCell ref="A265:B265"/>
    <mergeCell ref="A266:V266"/>
    <mergeCell ref="A267:A276"/>
    <mergeCell ref="B267:B276"/>
    <mergeCell ref="K267:K276"/>
    <mergeCell ref="J286:J287"/>
    <mergeCell ref="M286:M287"/>
    <mergeCell ref="K277:K282"/>
    <mergeCell ref="C267:C272"/>
    <mergeCell ref="D267:D272"/>
    <mergeCell ref="E267:E272"/>
    <mergeCell ref="F267:F272"/>
    <mergeCell ref="G267:G272"/>
    <mergeCell ref="H267:H272"/>
    <mergeCell ref="L283:L290"/>
    <mergeCell ref="Q267:Q276"/>
    <mergeCell ref="Q283:Q290"/>
    <mergeCell ref="K283:K290"/>
    <mergeCell ref="N283:N290"/>
    <mergeCell ref="L267:L276"/>
    <mergeCell ref="H283:H287"/>
    <mergeCell ref="T267:T269"/>
    <mergeCell ref="V267:V272"/>
    <mergeCell ref="S271:S272"/>
    <mergeCell ref="S267:S269"/>
    <mergeCell ref="R267:R276"/>
    <mergeCell ref="N267:N276"/>
    <mergeCell ref="K261:K264"/>
    <mergeCell ref="D242:D248"/>
    <mergeCell ref="E242:E248"/>
    <mergeCell ref="H242:H248"/>
    <mergeCell ref="K242:K252"/>
    <mergeCell ref="L242:L252"/>
    <mergeCell ref="K257:K260"/>
    <mergeCell ref="G242:G248"/>
    <mergeCell ref="F242:F248"/>
    <mergeCell ref="V229:V235"/>
    <mergeCell ref="S232:S234"/>
    <mergeCell ref="T232:T234"/>
    <mergeCell ref="S236:S237"/>
    <mergeCell ref="V242:V248"/>
    <mergeCell ref="S240:S241"/>
    <mergeCell ref="S246:S248"/>
    <mergeCell ref="N261:N264"/>
    <mergeCell ref="Q261:Q264"/>
    <mergeCell ref="T246:T248"/>
    <mergeCell ref="N242:N252"/>
    <mergeCell ref="D229:D235"/>
    <mergeCell ref="S222:S224"/>
    <mergeCell ref="K222:K228"/>
    <mergeCell ref="L222:L228"/>
    <mergeCell ref="N222:N228"/>
    <mergeCell ref="Q222:Q228"/>
    <mergeCell ref="E229:E235"/>
    <mergeCell ref="P242:P252"/>
    <mergeCell ref="F229:F235"/>
    <mergeCell ref="D222:D224"/>
    <mergeCell ref="E222:E224"/>
    <mergeCell ref="F222:F224"/>
    <mergeCell ref="A242:A252"/>
    <mergeCell ref="C229:C235"/>
    <mergeCell ref="B242:B252"/>
    <mergeCell ref="A229:A241"/>
    <mergeCell ref="B229:B241"/>
    <mergeCell ref="C222:C224"/>
    <mergeCell ref="C242:C248"/>
    <mergeCell ref="B222:B228"/>
    <mergeCell ref="A222:A228"/>
    <mergeCell ref="A216:A221"/>
    <mergeCell ref="B216:B221"/>
    <mergeCell ref="C216:C217"/>
    <mergeCell ref="C210:C211"/>
    <mergeCell ref="A210:A215"/>
    <mergeCell ref="B210:B215"/>
    <mergeCell ref="D216:D217"/>
    <mergeCell ref="E216:E217"/>
    <mergeCell ref="F216:F217"/>
    <mergeCell ref="G210:G211"/>
    <mergeCell ref="D210:D211"/>
    <mergeCell ref="E210:E211"/>
    <mergeCell ref="I206:I207"/>
    <mergeCell ref="J206:J207"/>
    <mergeCell ref="V210:V211"/>
    <mergeCell ref="H210:H211"/>
    <mergeCell ref="K210:K215"/>
    <mergeCell ref="R210:R215"/>
    <mergeCell ref="Q210:Q215"/>
    <mergeCell ref="N210:N215"/>
    <mergeCell ref="P210:P215"/>
    <mergeCell ref="F210:F211"/>
    <mergeCell ref="V194:V198"/>
    <mergeCell ref="S195:S196"/>
    <mergeCell ref="T195:T196"/>
    <mergeCell ref="K194:K202"/>
    <mergeCell ref="L194:L202"/>
    <mergeCell ref="N194:N202"/>
    <mergeCell ref="T203:T204"/>
    <mergeCell ref="C203:C205"/>
    <mergeCell ref="D203:D205"/>
    <mergeCell ref="E203:E205"/>
    <mergeCell ref="F203:F205"/>
    <mergeCell ref="A203:A209"/>
    <mergeCell ref="B203:B209"/>
    <mergeCell ref="G194:G198"/>
    <mergeCell ref="H194:H198"/>
    <mergeCell ref="G203:G205"/>
    <mergeCell ref="H203:H205"/>
    <mergeCell ref="C194:C198"/>
    <mergeCell ref="D194:D198"/>
    <mergeCell ref="E194:E198"/>
    <mergeCell ref="F194:F198"/>
    <mergeCell ref="C185:C189"/>
    <mergeCell ref="D185:D189"/>
    <mergeCell ref="E185:E189"/>
    <mergeCell ref="F185:F189"/>
    <mergeCell ref="K185:K193"/>
    <mergeCell ref="A194:A202"/>
    <mergeCell ref="B194:B202"/>
    <mergeCell ref="A185:A193"/>
    <mergeCell ref="B185:B193"/>
    <mergeCell ref="G185:G189"/>
    <mergeCell ref="H185:H189"/>
    <mergeCell ref="V175:V180"/>
    <mergeCell ref="S177:S178"/>
    <mergeCell ref="T177:T178"/>
    <mergeCell ref="R164:R174"/>
    <mergeCell ref="O170:O174"/>
    <mergeCell ref="K175:K184"/>
    <mergeCell ref="N175:N184"/>
    <mergeCell ref="O175:O184"/>
    <mergeCell ref="V185:V189"/>
    <mergeCell ref="S186:S187"/>
    <mergeCell ref="T186:T187"/>
    <mergeCell ref="A151:A154"/>
    <mergeCell ref="B151:B154"/>
    <mergeCell ref="F157:F160"/>
    <mergeCell ref="A175:A184"/>
    <mergeCell ref="B175:B184"/>
    <mergeCell ref="C164:C168"/>
    <mergeCell ref="F164:F168"/>
    <mergeCell ref="E157:E160"/>
    <mergeCell ref="E164:E168"/>
    <mergeCell ref="E175:E180"/>
    <mergeCell ref="C175:C180"/>
    <mergeCell ref="D175:D180"/>
    <mergeCell ref="A155:B155"/>
    <mergeCell ref="C157:C160"/>
    <mergeCell ref="D157:D160"/>
    <mergeCell ref="H175:H180"/>
    <mergeCell ref="D164:D168"/>
    <mergeCell ref="A157:A163"/>
    <mergeCell ref="B157:B163"/>
    <mergeCell ref="H157:H160"/>
    <mergeCell ref="H164:H168"/>
    <mergeCell ref="F175:F180"/>
    <mergeCell ref="V157:V160"/>
    <mergeCell ref="S158:S159"/>
    <mergeCell ref="T144:T146"/>
    <mergeCell ref="R157:R163"/>
    <mergeCell ref="Z185:Z193"/>
    <mergeCell ref="Y144:Y147"/>
    <mergeCell ref="Q151:Q154"/>
    <mergeCell ref="A156:V156"/>
    <mergeCell ref="C144:C145"/>
    <mergeCell ref="Z164:Z174"/>
    <mergeCell ref="Y164:Y174"/>
    <mergeCell ref="G164:G168"/>
    <mergeCell ref="Y175:Y184"/>
    <mergeCell ref="V144:V145"/>
    <mergeCell ref="G157:G160"/>
    <mergeCell ref="K157:K163"/>
    <mergeCell ref="A164:A174"/>
    <mergeCell ref="L157:L163"/>
    <mergeCell ref="G175:G180"/>
    <mergeCell ref="V164:V168"/>
    <mergeCell ref="J172:J174"/>
    <mergeCell ref="I172:I174"/>
    <mergeCell ref="L164:L174"/>
    <mergeCell ref="B164:B174"/>
    <mergeCell ref="V34:V35"/>
    <mergeCell ref="Q91:Q98"/>
    <mergeCell ref="P91:P98"/>
    <mergeCell ref="Q81:Q90"/>
    <mergeCell ref="S39:S44"/>
    <mergeCell ref="S74:S76"/>
    <mergeCell ref="Q74:Q80"/>
    <mergeCell ref="V81:V85"/>
    <mergeCell ref="S81:S84"/>
    <mergeCell ref="T81:T84"/>
    <mergeCell ref="R49:R57"/>
    <mergeCell ref="R58:R65"/>
    <mergeCell ref="D144:D145"/>
    <mergeCell ref="R81:R90"/>
    <mergeCell ref="R66:R73"/>
    <mergeCell ref="S66:S67"/>
    <mergeCell ref="U58:U59"/>
    <mergeCell ref="L34:L38"/>
    <mergeCell ref="P39:P48"/>
    <mergeCell ref="R74:R80"/>
    <mergeCell ref="T39:T44"/>
    <mergeCell ref="S49:S53"/>
    <mergeCell ref="K132:K138"/>
    <mergeCell ref="L132:L138"/>
    <mergeCell ref="L144:L150"/>
    <mergeCell ref="U66:U67"/>
    <mergeCell ref="V39:V42"/>
    <mergeCell ref="N39:N48"/>
    <mergeCell ref="Y49:Y57"/>
    <mergeCell ref="Y39:Y48"/>
    <mergeCell ref="Y66:Y73"/>
    <mergeCell ref="N81:N90"/>
    <mergeCell ref="B91:B98"/>
    <mergeCell ref="T49:T53"/>
    <mergeCell ref="V49:V53"/>
    <mergeCell ref="B81:B90"/>
    <mergeCell ref="H91:H92"/>
    <mergeCell ref="V66:V68"/>
    <mergeCell ref="T66:T67"/>
    <mergeCell ref="V58:V60"/>
    <mergeCell ref="L91:L98"/>
    <mergeCell ref="A99:A103"/>
    <mergeCell ref="B99:B103"/>
    <mergeCell ref="C99:C103"/>
    <mergeCell ref="D99:D103"/>
    <mergeCell ref="F99:F103"/>
    <mergeCell ref="G99:G103"/>
    <mergeCell ref="E99:E103"/>
    <mergeCell ref="Z74:Z80"/>
    <mergeCell ref="A119:A122"/>
    <mergeCell ref="B119:B122"/>
    <mergeCell ref="C119:C120"/>
    <mergeCell ref="D119:D120"/>
    <mergeCell ref="E119:E120"/>
    <mergeCell ref="F119:F120"/>
    <mergeCell ref="A81:A90"/>
    <mergeCell ref="Z116:Z118"/>
    <mergeCell ref="Z91:Z97"/>
    <mergeCell ref="Z113:Z114"/>
    <mergeCell ref="V91:V92"/>
    <mergeCell ref="T74:T76"/>
    <mergeCell ref="T104:T105"/>
    <mergeCell ref="V108:V109"/>
    <mergeCell ref="V74:V77"/>
    <mergeCell ref="Y112:Y118"/>
    <mergeCell ref="A91:A98"/>
    <mergeCell ref="E81:E85"/>
    <mergeCell ref="C91:C93"/>
    <mergeCell ref="D91:D93"/>
    <mergeCell ref="C81:C85"/>
    <mergeCell ref="G74:G77"/>
    <mergeCell ref="F74:F77"/>
    <mergeCell ref="L81:L90"/>
    <mergeCell ref="D81:D85"/>
    <mergeCell ref="K81:K90"/>
    <mergeCell ref="E91:E93"/>
    <mergeCell ref="H81:H85"/>
    <mergeCell ref="F91:F93"/>
    <mergeCell ref="G91:G92"/>
    <mergeCell ref="G81:G85"/>
    <mergeCell ref="F81:F85"/>
    <mergeCell ref="A66:A73"/>
    <mergeCell ref="B66:B73"/>
    <mergeCell ref="C58:C60"/>
    <mergeCell ref="A74:A80"/>
    <mergeCell ref="C74:C77"/>
    <mergeCell ref="H74:H77"/>
    <mergeCell ref="G66:G68"/>
    <mergeCell ref="D74:D77"/>
    <mergeCell ref="H66:H68"/>
    <mergeCell ref="E74:E77"/>
    <mergeCell ref="B74:B80"/>
    <mergeCell ref="D66:D68"/>
    <mergeCell ref="E66:E68"/>
    <mergeCell ref="A39:A48"/>
    <mergeCell ref="C39:C42"/>
    <mergeCell ref="D39:D42"/>
    <mergeCell ref="E39:E42"/>
    <mergeCell ref="B39:B48"/>
    <mergeCell ref="F34:F35"/>
    <mergeCell ref="H58:H60"/>
    <mergeCell ref="G58:G60"/>
    <mergeCell ref="D58:D60"/>
    <mergeCell ref="A34:A38"/>
    <mergeCell ref="A49:A57"/>
    <mergeCell ref="B49:B57"/>
    <mergeCell ref="C49:C53"/>
    <mergeCell ref="F58:F60"/>
    <mergeCell ref="E34:E35"/>
    <mergeCell ref="E58:E60"/>
    <mergeCell ref="A58:A65"/>
    <mergeCell ref="B58:B65"/>
    <mergeCell ref="R15:R21"/>
    <mergeCell ref="H49:H53"/>
    <mergeCell ref="D34:D35"/>
    <mergeCell ref="F39:F42"/>
    <mergeCell ref="C34:C35"/>
    <mergeCell ref="D49:D53"/>
    <mergeCell ref="E49:E53"/>
    <mergeCell ref="G39:G42"/>
    <mergeCell ref="H39:H42"/>
    <mergeCell ref="Q34:Q38"/>
    <mergeCell ref="Q22:Q25"/>
    <mergeCell ref="Z26:Z29"/>
    <mergeCell ref="Z30:Z33"/>
    <mergeCell ref="Y22:Y25"/>
    <mergeCell ref="Y34:Y38"/>
    <mergeCell ref="R22:R25"/>
    <mergeCell ref="Y30:Y33"/>
    <mergeCell ref="Z15:Z17"/>
    <mergeCell ref="V9:V12"/>
    <mergeCell ref="V15:V18"/>
    <mergeCell ref="Q30:Q33"/>
    <mergeCell ref="T34:T35"/>
    <mergeCell ref="Y15:Y21"/>
    <mergeCell ref="Z22:Z25"/>
    <mergeCell ref="Z34:Z38"/>
    <mergeCell ref="Y26:Y29"/>
    <mergeCell ref="Q15:Q21"/>
    <mergeCell ref="Z9:Z12"/>
    <mergeCell ref="W11:W12"/>
    <mergeCell ref="X11:X12"/>
    <mergeCell ref="Y11:Y12"/>
    <mergeCell ref="A14:Z14"/>
    <mergeCell ref="E15:E18"/>
    <mergeCell ref="S34:S35"/>
    <mergeCell ref="L22:L25"/>
    <mergeCell ref="A30:A33"/>
    <mergeCell ref="G34:G35"/>
    <mergeCell ref="P30:P33"/>
    <mergeCell ref="O34:O38"/>
    <mergeCell ref="O30:O33"/>
    <mergeCell ref="K30:K33"/>
    <mergeCell ref="B30:B33"/>
    <mergeCell ref="N30:N33"/>
    <mergeCell ref="H34:H35"/>
    <mergeCell ref="B34:B38"/>
    <mergeCell ref="A15:A21"/>
    <mergeCell ref="D15:D18"/>
    <mergeCell ref="B15:B21"/>
    <mergeCell ref="F15:F18"/>
    <mergeCell ref="C15:C18"/>
    <mergeCell ref="H15:H18"/>
    <mergeCell ref="K22:K25"/>
    <mergeCell ref="G15:G18"/>
    <mergeCell ref="A26:A29"/>
    <mergeCell ref="B26:B29"/>
    <mergeCell ref="K26:K29"/>
    <mergeCell ref="A22:A25"/>
    <mergeCell ref="B22:B25"/>
    <mergeCell ref="A9:A12"/>
    <mergeCell ref="B9:B12"/>
    <mergeCell ref="C9:C12"/>
    <mergeCell ref="D9:D12"/>
    <mergeCell ref="E9:E12"/>
    <mergeCell ref="F9:F12"/>
    <mergeCell ref="Q9:Q11"/>
    <mergeCell ref="O9:O11"/>
    <mergeCell ref="L9:L11"/>
    <mergeCell ref="M9:N10"/>
    <mergeCell ref="P9:P11"/>
    <mergeCell ref="H9:H11"/>
    <mergeCell ref="I9:I12"/>
    <mergeCell ref="J9:K10"/>
    <mergeCell ref="G9:G11"/>
    <mergeCell ref="B132:B138"/>
    <mergeCell ref="D132:D135"/>
    <mergeCell ref="E132:E135"/>
    <mergeCell ref="F132:F135"/>
    <mergeCell ref="Q119:Q122"/>
    <mergeCell ref="G49:G53"/>
    <mergeCell ref="W9:Y10"/>
    <mergeCell ref="S9:S12"/>
    <mergeCell ref="S58:S59"/>
    <mergeCell ref="L39:L48"/>
    <mergeCell ref="L26:L29"/>
    <mergeCell ref="N26:N29"/>
    <mergeCell ref="N22:N25"/>
    <mergeCell ref="L58:L65"/>
    <mergeCell ref="O26:O29"/>
    <mergeCell ref="R9:R11"/>
    <mergeCell ref="T9:T12"/>
    <mergeCell ref="U9:U12"/>
    <mergeCell ref="P15:P21"/>
    <mergeCell ref="N15:N21"/>
    <mergeCell ref="L15:L21"/>
    <mergeCell ref="K15:K21"/>
    <mergeCell ref="N34:N38"/>
    <mergeCell ref="L30:L33"/>
    <mergeCell ref="P34:P38"/>
    <mergeCell ref="N49:N57"/>
    <mergeCell ref="K34:K38"/>
    <mergeCell ref="C66:C68"/>
    <mergeCell ref="F66:F68"/>
    <mergeCell ref="Z104:Z107"/>
    <mergeCell ref="S104:S105"/>
    <mergeCell ref="H99:H103"/>
    <mergeCell ref="Y99:Y103"/>
    <mergeCell ref="Y104:Y107"/>
    <mergeCell ref="Q39:Q48"/>
    <mergeCell ref="Q58:Q65"/>
    <mergeCell ref="P66:P73"/>
    <mergeCell ref="O39:O48"/>
    <mergeCell ref="K39:K48"/>
    <mergeCell ref="F49:F53"/>
    <mergeCell ref="K49:K57"/>
    <mergeCell ref="Y58:Y65"/>
    <mergeCell ref="Y74:Y80"/>
    <mergeCell ref="Z81:Z90"/>
    <mergeCell ref="Z39:Z48"/>
    <mergeCell ref="N74:N80"/>
    <mergeCell ref="Z58:Z65"/>
    <mergeCell ref="T58:T59"/>
    <mergeCell ref="T99:T100"/>
    <mergeCell ref="S99:S100"/>
    <mergeCell ref="L99:L103"/>
    <mergeCell ref="N99:N103"/>
    <mergeCell ref="Q104:Q107"/>
    <mergeCell ref="C108:C109"/>
    <mergeCell ref="S112:S115"/>
    <mergeCell ref="J113:J114"/>
    <mergeCell ref="H108:H109"/>
    <mergeCell ref="D112:D115"/>
    <mergeCell ref="G112:G115"/>
    <mergeCell ref="E112:E115"/>
    <mergeCell ref="P104:P107"/>
    <mergeCell ref="R104:R107"/>
    <mergeCell ref="G108:G109"/>
    <mergeCell ref="H104:H105"/>
    <mergeCell ref="N104:N107"/>
    <mergeCell ref="K104:K107"/>
    <mergeCell ref="G104:G105"/>
    <mergeCell ref="D104:D105"/>
    <mergeCell ref="D108:D109"/>
    <mergeCell ref="B104:B107"/>
    <mergeCell ref="C104:C105"/>
    <mergeCell ref="E104:E105"/>
    <mergeCell ref="L104:L107"/>
    <mergeCell ref="F104:F105"/>
    <mergeCell ref="A112:A118"/>
    <mergeCell ref="F112:F115"/>
    <mergeCell ref="B112:B118"/>
    <mergeCell ref="E108:E109"/>
    <mergeCell ref="F108:F109"/>
    <mergeCell ref="A108:A111"/>
    <mergeCell ref="B108:B111"/>
    <mergeCell ref="K108:K111"/>
    <mergeCell ref="L108:L111"/>
    <mergeCell ref="A104:A107"/>
    <mergeCell ref="V112:V115"/>
    <mergeCell ref="T112:T115"/>
    <mergeCell ref="Z119:Z122"/>
    <mergeCell ref="Y132:Y138"/>
    <mergeCell ref="A132:A138"/>
    <mergeCell ref="A123:B123"/>
    <mergeCell ref="P112:P118"/>
    <mergeCell ref="R119:R122"/>
    <mergeCell ref="C112:C115"/>
    <mergeCell ref="Y119:Y122"/>
    <mergeCell ref="H119:H120"/>
    <mergeCell ref="U125:U128"/>
    <mergeCell ref="W125:W128"/>
    <mergeCell ref="T125:T128"/>
    <mergeCell ref="Z132:Z138"/>
    <mergeCell ref="Q125:Q131"/>
    <mergeCell ref="Y125:Y131"/>
    <mergeCell ref="G132:G135"/>
    <mergeCell ref="H132:H135"/>
    <mergeCell ref="A125:A131"/>
    <mergeCell ref="B125:B131"/>
    <mergeCell ref="N119:N122"/>
    <mergeCell ref="L119:L122"/>
    <mergeCell ref="G119:G120"/>
    <mergeCell ref="Y283:Y290"/>
    <mergeCell ref="Y216:Y221"/>
    <mergeCell ref="Y222:Y228"/>
    <mergeCell ref="Y229:Y241"/>
    <mergeCell ref="Y242:Y252"/>
    <mergeCell ref="Y253:Y256"/>
    <mergeCell ref="Y257:Y260"/>
    <mergeCell ref="Z216:Z221"/>
    <mergeCell ref="Y185:Y193"/>
    <mergeCell ref="Z194:Z202"/>
    <mergeCell ref="Z253:Z256"/>
    <mergeCell ref="Z210:Z215"/>
    <mergeCell ref="Z203:Z209"/>
    <mergeCell ref="Z257:Z260"/>
    <mergeCell ref="Y267:Y276"/>
    <mergeCell ref="Y277:Y282"/>
    <mergeCell ref="Y210:Y215"/>
    <mergeCell ref="Z267:Z275"/>
    <mergeCell ref="Z261:Z264"/>
    <mergeCell ref="Z229:Z241"/>
    <mergeCell ref="Z277:Z281"/>
    <mergeCell ref="Z242:Z252"/>
    <mergeCell ref="Z49:Z57"/>
    <mergeCell ref="Z66:Z73"/>
    <mergeCell ref="Z99:Z102"/>
    <mergeCell ref="Z108:Z111"/>
    <mergeCell ref="Z144:Z149"/>
    <mergeCell ref="Y203:Y209"/>
    <mergeCell ref="Y194:Y202"/>
    <mergeCell ref="Z157:Z163"/>
    <mergeCell ref="Y108:Y111"/>
    <mergeCell ref="Z125:Z131"/>
    <mergeCell ref="Z175:Z184"/>
    <mergeCell ref="Z151:Z154"/>
    <mergeCell ref="Y151:Y154"/>
    <mergeCell ref="Z139:Z143"/>
    <mergeCell ref="Y139:Y143"/>
    <mergeCell ref="Y157:Y163"/>
    <mergeCell ref="K58:K65"/>
    <mergeCell ref="P49:P57"/>
    <mergeCell ref="P58:P65"/>
    <mergeCell ref="N58:N65"/>
    <mergeCell ref="O49:O57"/>
    <mergeCell ref="L49:L57"/>
    <mergeCell ref="O58:O65"/>
    <mergeCell ref="Z222:Z228"/>
    <mergeCell ref="Y261:Y264"/>
    <mergeCell ref="R203:R209"/>
    <mergeCell ref="T132:T134"/>
    <mergeCell ref="A124:V124"/>
    <mergeCell ref="P119:P122"/>
    <mergeCell ref="V132:V135"/>
    <mergeCell ref="T158:T159"/>
    <mergeCell ref="R132:R138"/>
    <mergeCell ref="P144:P150"/>
    <mergeCell ref="P132:P138"/>
    <mergeCell ref="R125:R131"/>
    <mergeCell ref="Q144:Q150"/>
    <mergeCell ref="S125:S127"/>
    <mergeCell ref="Q139:Q143"/>
    <mergeCell ref="H112:H115"/>
    <mergeCell ref="V119:V120"/>
    <mergeCell ref="K66:K73"/>
    <mergeCell ref="P99:P103"/>
    <mergeCell ref="P108:P111"/>
    <mergeCell ref="N144:N150"/>
    <mergeCell ref="L66:L73"/>
    <mergeCell ref="K125:K131"/>
    <mergeCell ref="K74:K80"/>
    <mergeCell ref="N132:N138"/>
    <mergeCell ref="K112:K118"/>
    <mergeCell ref="K119:K122"/>
    <mergeCell ref="N108:N111"/>
    <mergeCell ref="R277:R282"/>
    <mergeCell ref="L257:L260"/>
    <mergeCell ref="N157:N163"/>
    <mergeCell ref="R185:R193"/>
    <mergeCell ref="N203:N209"/>
    <mergeCell ref="P216:P221"/>
    <mergeCell ref="O210:O215"/>
    <mergeCell ref="O216:O221"/>
    <mergeCell ref="R194:R202"/>
    <mergeCell ref="N253:N256"/>
    <mergeCell ref="Q242:Q252"/>
    <mergeCell ref="Q253:Q256"/>
    <mergeCell ref="S132:S134"/>
    <mergeCell ref="R144:R150"/>
    <mergeCell ref="Q132:Q138"/>
    <mergeCell ref="S144:S146"/>
    <mergeCell ref="P125:P131"/>
    <mergeCell ref="K144:K150"/>
    <mergeCell ref="R283:R290"/>
    <mergeCell ref="R175:R184"/>
    <mergeCell ref="I125:I127"/>
    <mergeCell ref="J125:J127"/>
    <mergeCell ref="K139:K143"/>
    <mergeCell ref="L139:L143"/>
    <mergeCell ref="L125:L131"/>
    <mergeCell ref="Q164:Q174"/>
    <mergeCell ref="P164:P174"/>
    <mergeCell ref="P157:P163"/>
    <mergeCell ref="Q277:Q282"/>
    <mergeCell ref="Q194:Q202"/>
    <mergeCell ref="Q175:Q184"/>
    <mergeCell ref="L185:L193"/>
    <mergeCell ref="P185:P193"/>
    <mergeCell ref="Q185:Q193"/>
    <mergeCell ref="Q203:Q209"/>
    <mergeCell ref="P194:P202"/>
    <mergeCell ref="K164:K174"/>
    <mergeCell ref="N164:N174"/>
    <mergeCell ref="P74:P80"/>
    <mergeCell ref="L229:L241"/>
    <mergeCell ref="O91:O98"/>
    <mergeCell ref="O81:O90"/>
    <mergeCell ref="N112:N118"/>
    <mergeCell ref="N125:N131"/>
    <mergeCell ref="K99:K103"/>
    <mergeCell ref="O194:O202"/>
    <mergeCell ref="K151:K154"/>
    <mergeCell ref="P151:P154"/>
    <mergeCell ref="Q157:Q163"/>
    <mergeCell ref="O66:O73"/>
    <mergeCell ref="L74:L80"/>
    <mergeCell ref="O74:O80"/>
    <mergeCell ref="Q99:Q103"/>
    <mergeCell ref="M240:M241"/>
    <mergeCell ref="Q112:Q118"/>
    <mergeCell ref="Q108:Q111"/>
    <mergeCell ref="L112:L118"/>
    <mergeCell ref="Q66:Q73"/>
    <mergeCell ref="P283:P290"/>
    <mergeCell ref="P203:P209"/>
    <mergeCell ref="N185:N193"/>
    <mergeCell ref="N151:N154"/>
    <mergeCell ref="N139:N143"/>
    <mergeCell ref="L151:L154"/>
    <mergeCell ref="O203:O209"/>
    <mergeCell ref="L277:L282"/>
    <mergeCell ref="N277:N282"/>
    <mergeCell ref="L261:L264"/>
    <mergeCell ref="N257:N260"/>
  </mergeCells>
  <pageMargins left="0.24" right="0.19685039370078741" top="0.2" bottom="0.15748031496062992" header="0.2" footer="0.2"/>
  <pageSetup paperSize="9" scale="56" firstPageNumber="0" fitToWidth="9" fitToHeight="9" orientation="portrait" horizontalDpi="300" verticalDpi="300" r:id="rId1"/>
  <headerFooter alignWithMargins="0"/>
  <rowBreaks count="12" manualBreakCount="12">
    <brk id="27" max="25" man="1"/>
    <brk id="53" max="25" man="1"/>
    <brk id="79" max="25" man="1"/>
    <brk id="107" max="25" man="1"/>
    <brk id="123" max="25" man="1"/>
    <brk id="135" max="25" man="1"/>
    <brk id="146" max="25" man="1"/>
    <brk id="155" max="25" man="1"/>
    <brk id="189" max="25" man="1"/>
    <brk id="213" max="25" man="1"/>
    <brk id="242" max="25" man="1"/>
    <brk id="26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энергообследование</vt:lpstr>
      <vt:lpstr>2015</vt:lpstr>
      <vt:lpstr>'2015'!__xlnm._FilterDatabase</vt:lpstr>
      <vt:lpstr>энергообследование!__xlnm._FilterDatabase</vt:lpstr>
      <vt:lpstr>энергообследование!__xlnm._FilterDatabase_1_1</vt:lpstr>
      <vt:lpstr>__xlnm._FilterDatabase_1_1</vt:lpstr>
      <vt:lpstr>'2015'!__xlnm.Print_Area</vt:lpstr>
      <vt:lpstr>энергообследование!__xlnm.Print_Area</vt:lpstr>
      <vt:lpstr>'2015'!__xlnm.Print_Titles</vt:lpstr>
      <vt:lpstr>энергообследование!__xlnm.Print_Titles</vt:lpstr>
      <vt:lpstr>'2015'!Excel_BuiltIn_Print_Area</vt:lpstr>
      <vt:lpstr>энергообследование!Excel_BuiltIn_Print_Area</vt:lpstr>
      <vt:lpstr>'2015'!Заголовки_для_печати</vt:lpstr>
      <vt:lpstr>энергообследование!Заголовки_для_печати</vt:lpstr>
      <vt:lpstr>'2015'!Область_печати</vt:lpstr>
      <vt:lpstr>энергообследование!Область_печати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Admin0100</dc:creator>
  <cp:lastModifiedBy>Виктор</cp:lastModifiedBy>
  <cp:lastPrinted>2018-11-07T09:44:50Z</cp:lastPrinted>
  <dcterms:created xsi:type="dcterms:W3CDTF">2015-04-10T07:03:05Z</dcterms:created>
  <dcterms:modified xsi:type="dcterms:W3CDTF">2018-11-09T09:43:33Z</dcterms:modified>
</cp:coreProperties>
</file>